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worksheets/sheet48.xml" ContentType="application/vnd.openxmlformats-officedocument.spreadsheetml.worksheet+xml"/>
  <Override PartName="/xl/worksheets/sheet47.xml" ContentType="application/vnd.openxmlformats-officedocument.spreadsheetml.worksheet+xml"/>
  <Override PartName="/xl/worksheets/sheet46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worksheets/sheet14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7.xml" ContentType="application/vnd.openxmlformats-officedocument.spreadsheetml.worksheet+xml"/>
  <Override PartName="/xl/activeX/activeX1.xml" ContentType="application/vnd.ms-office.activeX+xml"/>
  <Override PartName="/xl/comments3.xml" ContentType="application/vnd.openxmlformats-officedocument.spreadsheetml.comment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activeX/activeX2.bin" ContentType="application/vnd.ms-office.activeX"/>
  <Override PartName="/xl/activeX/activeX2.xml" ContentType="application/vnd.ms-office.activeX+xml"/>
  <Override PartName="/xl/comments1.xml" ContentType="application/vnd.openxmlformats-officedocument.spreadsheetml.comments+xml"/>
  <Override PartName="/xl/activeX/activeX3.bin" ContentType="application/vnd.ms-office.activeX"/>
  <Override PartName="/xl/activeX/activeX3.xml" ContentType="application/vnd.ms-office.activeX+xml"/>
  <Override PartName="/xl/comments8.xml" ContentType="application/vnd.openxmlformats-officedocument.spreadsheetml.comments+xml"/>
  <Override PartName="/xl/comments5.xml" ContentType="application/vnd.openxmlformats-officedocument.spreadsheetml.comments+xml"/>
  <Override PartName="/xl/comments4.xml" ContentType="application/vnd.openxmlformats-officedocument.spreadsheetml.comments+xml"/>
  <Override PartName="/xl/comments2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activeX/activeX4.xml" ContentType="application/vnd.ms-office.activeX+xml"/>
  <Override PartName="/xl/activeX/activeX4.bin" ContentType="application/vnd.ms-office.activeX"/>
  <Override PartName="/xl/comments11.xml" ContentType="application/vnd.openxmlformats-officedocument.spreadsheetml.comments+xml"/>
  <Override PartName="/xl/activeX/activeX1.bin" ContentType="application/vnd.ms-office.activeX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len\Documents\Zippy\Wutc\Rate Cases\2023 General Rate Increase\"/>
    </mc:Choice>
  </mc:AlternateContent>
  <bookViews>
    <workbookView xWindow="0" yWindow="0" windowWidth="28800" windowHeight="13335" tabRatio="912" activeTab="1"/>
  </bookViews>
  <sheets>
    <sheet name="Lurito-Old" sheetId="1" r:id="rId1"/>
    <sheet name="Staff LG Total" sheetId="73" r:id="rId2"/>
    <sheet name="Staff Adjustment Summary" sheetId="71" r:id="rId3"/>
    <sheet name="Results of Operations Staff " sheetId="2" r:id="rId4"/>
    <sheet name="Results of Operations Regulated" sheetId="21" r:id="rId5"/>
    <sheet name="Staff Pro Forma" sheetId="69" r:id="rId6"/>
    <sheet name="Restating AJEs" sheetId="10" r:id="rId7"/>
    <sheet name="Proforma AJEs" sheetId="9" r:id="rId8"/>
    <sheet name="Cost Allocations" sheetId="24" r:id="rId9"/>
    <sheet name="Cost Allocations-Contracts" sheetId="3" r:id="rId10"/>
    <sheet name="Cost Allocations-Recycle" sheetId="12" r:id="rId11"/>
    <sheet name="Cost Allocations-Rolloff" sheetId="13" r:id="rId12"/>
    <sheet name="Depr Allocation" sheetId="8" r:id="rId13"/>
    <sheet name="Hours &amp; Miles" sheetId="5" r:id="rId14"/>
    <sheet name="Container Count" sheetId="6" r:id="rId15"/>
    <sheet name="DEPN2K" sheetId="68" r:id="rId16"/>
    <sheet name="Wutc Balance Sheet" sheetId="7" r:id="rId17"/>
    <sheet name="Monthy Income Statements" sheetId="4" r:id="rId18"/>
    <sheet name="Priceout-Chelan" sheetId="14" r:id="rId19"/>
    <sheet name="Priceout-Douglas" sheetId="15" r:id="rId20"/>
    <sheet name="Priceout-Okanogan" sheetId="16" r:id="rId21"/>
    <sheet name="Lurito Old-Chelan" sheetId="18" r:id="rId22"/>
    <sheet name="Staff LG Total Chelan" sheetId="78" r:id="rId23"/>
    <sheet name="Lurito Old-Douglas" sheetId="19" r:id="rId24"/>
    <sheet name="Staff LG Total Douglas" sheetId="79" r:id="rId25"/>
    <sheet name="Lurito Old-Okanogan" sheetId="20" r:id="rId26"/>
    <sheet name="Staff LG Total Okanogan" sheetId="80" r:id="rId27"/>
    <sheet name="Overhead Allocation" sheetId="25" r:id="rId28"/>
    <sheet name="Depr Allocation by County" sheetId="26" r:id="rId29"/>
    <sheet name="Hours &amp; Miles by County" sheetId="27" r:id="rId30"/>
    <sheet name="Container Count by County" sheetId="28" r:id="rId31"/>
    <sheet name="Drop Box Allocation" sheetId="29" r:id="rId32"/>
    <sheet name="Disposal Fee Breakdown" sheetId="30" r:id="rId33"/>
    <sheet name="Service Counts" sheetId="31" r:id="rId34"/>
    <sheet name="Wage Summary" sheetId="32" r:id="rId35"/>
    <sheet name="L&amp;I" sheetId="33" r:id="rId36"/>
    <sheet name="Health Insurance" sheetId="34" r:id="rId37"/>
    <sheet name="City Contracts" sheetId="35" r:id="rId38"/>
    <sheet name="Disposal Fees" sheetId="36" r:id="rId39"/>
    <sheet name="Previous rate increases" sheetId="37" r:id="rId40"/>
    <sheet name="Fuel Summary" sheetId="38" r:id="rId41"/>
    <sheet name="Fuel Proforma" sheetId="39" r:id="rId42"/>
    <sheet name="Employment Security" sheetId="40" r:id="rId43"/>
    <sheet name="Rent" sheetId="41" r:id="rId44"/>
    <sheet name="Checklist" sheetId="42" r:id="rId45"/>
    <sheet name="General Data" sheetId="43" r:id="rId46"/>
    <sheet name="Monthly Data-Hours &amp; Miles" sheetId="44" r:id="rId47"/>
    <sheet name="Monthly Data-Container Count" sheetId="45" r:id="rId48"/>
    <sheet name="Monthly Data-Disposal Fees" sheetId="46" r:id="rId49"/>
    <sheet name="Service Count Data" sheetId="47" r:id="rId50"/>
    <sheet name="Pateros Service Counts" sheetId="48" r:id="rId51"/>
    <sheet name="Bridgeport Service Counts" sheetId="49" r:id="rId52"/>
  </sheets>
  <definedNames>
    <definedName name="_Regression_Int">0</definedName>
    <definedName name="aa" localSheetId="22">#REF!</definedName>
    <definedName name="aa" localSheetId="24">#REF!</definedName>
    <definedName name="aa" localSheetId="26">#REF!</definedName>
    <definedName name="aa">#REF!</definedName>
    <definedName name="aaa" localSheetId="22">#REF!</definedName>
    <definedName name="aaa" localSheetId="24">#REF!</definedName>
    <definedName name="aaa" localSheetId="26">#REF!</definedName>
    <definedName name="aaa">#REF!</definedName>
    <definedName name="aaaaa" localSheetId="22">#REF!</definedName>
    <definedName name="aaaaa" localSheetId="24">#REF!</definedName>
    <definedName name="aaaaa" localSheetId="26">#REF!</definedName>
    <definedName name="aaaaa">#REF!</definedName>
    <definedName name="aaaaaa" localSheetId="22">#REF!</definedName>
    <definedName name="aaaaaa" localSheetId="24">#REF!</definedName>
    <definedName name="aaaaaa" localSheetId="26">#REF!</definedName>
    <definedName name="aaaaaa">#REF!</definedName>
    <definedName name="_xlnm.Database">DEPN2K!$A$1</definedName>
    <definedName name="Database_MI">DEPN2K!$A$1</definedName>
    <definedName name="Debt_Rate" localSheetId="1">'Staff LG Total'!$K$27</definedName>
    <definedName name="Debt_Rate" localSheetId="22">'Staff LG Total Chelan'!$K$27</definedName>
    <definedName name="Debt_Rate" localSheetId="24">'Staff LG Total Douglas'!$K$27</definedName>
    <definedName name="Debt_Rate" localSheetId="26">'Staff LG Total Okanogan'!$K$27</definedName>
    <definedName name="debtP" localSheetId="1">'Staff LG Total'!$I$27</definedName>
    <definedName name="debtP" localSheetId="22">'Staff LG Total Chelan'!$I$27</definedName>
    <definedName name="debtP" localSheetId="24">'Staff LG Total Douglas'!$I$27</definedName>
    <definedName name="debtP" localSheetId="26">'Staff LG Total Okanogan'!$I$27</definedName>
    <definedName name="Equity_percent" localSheetId="1">'Staff LG Total'!$S$58</definedName>
    <definedName name="Equity_percent" localSheetId="22">'Staff LG Total Chelan'!$S$58</definedName>
    <definedName name="Equity_percent" localSheetId="24">'Staff LG Total Douglas'!$S$58</definedName>
    <definedName name="Equity_percent" localSheetId="26">'Staff LG Total Okanogan'!$S$58</definedName>
    <definedName name="equityP" localSheetId="1">'Staff LG Total'!$I$26</definedName>
    <definedName name="equityP" localSheetId="22">'Staff LG Total Chelan'!$I$26</definedName>
    <definedName name="equityP" localSheetId="24">'Staff LG Total Douglas'!$I$26</definedName>
    <definedName name="equityP" localSheetId="26">'Staff LG Total Okanogan'!$I$26</definedName>
    <definedName name="expenses" localSheetId="1">'Staff LG Total'!$I$8</definedName>
    <definedName name="expenses" localSheetId="22">'Staff LG Total Chelan'!$I$8</definedName>
    <definedName name="expenses" localSheetId="24">'Staff LG Total Douglas'!$I$8</definedName>
    <definedName name="expenses" localSheetId="26">'Staff LG Total Okanogan'!$I$8</definedName>
    <definedName name="g" localSheetId="22">#REF!</definedName>
    <definedName name="g" localSheetId="24">#REF!</definedName>
    <definedName name="g" localSheetId="26">#REF!</definedName>
    <definedName name="g">#REF!</definedName>
    <definedName name="gg" localSheetId="22">#REF!</definedName>
    <definedName name="gg" localSheetId="24">#REF!</definedName>
    <definedName name="gg" localSheetId="26">#REF!</definedName>
    <definedName name="gg">#REF!</definedName>
    <definedName name="ggg" localSheetId="22">#REF!</definedName>
    <definedName name="ggg" localSheetId="24">#REF!</definedName>
    <definedName name="ggg" localSheetId="26">#REF!</definedName>
    <definedName name="ggg">#REF!</definedName>
    <definedName name="ggggg" localSheetId="22">#REF!</definedName>
    <definedName name="ggggg" localSheetId="24">#REF!</definedName>
    <definedName name="ggggg" localSheetId="26">#REF!</definedName>
    <definedName name="ggggg">#REF!</definedName>
    <definedName name="gggggg" localSheetId="22">#REF!</definedName>
    <definedName name="gggggg" localSheetId="24">#REF!</definedName>
    <definedName name="gggggg" localSheetId="26">#REF!</definedName>
    <definedName name="gggggg">#REF!</definedName>
    <definedName name="INPUT" localSheetId="1">'Staff LG Total'!#REF!</definedName>
    <definedName name="INPUT" localSheetId="22">'Staff LG Total Chelan'!#REF!</definedName>
    <definedName name="INPUT" localSheetId="24">'Staff LG Total Douglas'!#REF!</definedName>
    <definedName name="INPUT" localSheetId="26">'Staff LG Total Okanogan'!#REF!</definedName>
    <definedName name="INPUT">#REF!</definedName>
    <definedName name="INPUTc" localSheetId="1">#REF!</definedName>
    <definedName name="INPUTc" localSheetId="22">#REF!</definedName>
    <definedName name="INPUTc" localSheetId="24">#REF!</definedName>
    <definedName name="INPUTc" localSheetId="26">#REF!</definedName>
    <definedName name="INPUTc">#REF!</definedName>
    <definedName name="Investment" localSheetId="1">'Staff LG Total'!$J$28</definedName>
    <definedName name="Investment" localSheetId="22">'Staff LG Total Chelan'!$J$28</definedName>
    <definedName name="Investment" localSheetId="24">'Staff LG Total Douglas'!$J$28</definedName>
    <definedName name="Investment" localSheetId="26">'Staff LG Total Okanogan'!$J$28</definedName>
    <definedName name="PAGE_1">DEPN2K!$A$1:$AA$37</definedName>
    <definedName name="Pfd_weighted" localSheetId="1">'Staff LG Total'!$U$57</definedName>
    <definedName name="Pfd_weighted" localSheetId="22">'Staff LG Total Chelan'!$U$57</definedName>
    <definedName name="Pfd_weighted" localSheetId="24">'Staff LG Total Douglas'!$U$57</definedName>
    <definedName name="Pfd_weighted" localSheetId="26">'Staff LG Total Okanogan'!$U$57</definedName>
    <definedName name="_xlnm.Print_Area" localSheetId="51">'Bridgeport Service Counts'!$A$1:$V$49</definedName>
    <definedName name="_xlnm.Print_Area" localSheetId="15">DEPN2K!$B$1:$AA$363</definedName>
    <definedName name="_xlnm.Print_Area" localSheetId="13">'Hours &amp; Miles'!$A$1:$P$86</definedName>
    <definedName name="_xlnm.Print_Area" localSheetId="21">'Lurito Old-Chelan'!$A$1:$I$34</definedName>
    <definedName name="_xlnm.Print_Area" localSheetId="23">'Lurito Old-Douglas'!$A$1:$I$35</definedName>
    <definedName name="_xlnm.Print_Area" localSheetId="25">'Lurito Old-Okanogan'!$A$1:$I$33</definedName>
    <definedName name="_xlnm.Print_Area" localSheetId="0">'Lurito-Old'!$A$1:$I$35</definedName>
    <definedName name="_xlnm.Print_Area" localSheetId="50">'Pateros Service Counts'!$X$6:$AI$39</definedName>
    <definedName name="_xlnm.Print_Area" localSheetId="18">'Priceout-Chelan'!$A$1:$K$80</definedName>
    <definedName name="_xlnm.Print_Area" localSheetId="19">'Priceout-Douglas'!$A$1:$K$77</definedName>
    <definedName name="_xlnm.Print_Area" localSheetId="20">'Priceout-Okanogan'!$A$1:$K$77</definedName>
    <definedName name="_xlnm.Print_Area" localSheetId="4">'Results of Operations Regulated'!$A$1:$L$109</definedName>
    <definedName name="_xlnm.Print_Area" localSheetId="3">'Results of Operations Staff '!$A$1:$P$110</definedName>
    <definedName name="_xlnm.Print_Area" localSheetId="49">'Service Count Data'!$A$1:$O$288</definedName>
    <definedName name="_xlnm.Print_Area" localSheetId="33">'Service Counts'!$A$1:$AG$100</definedName>
    <definedName name="_xlnm.Print_Area" localSheetId="1">'Staff LG Total'!$F$2:$N$49</definedName>
    <definedName name="_xlnm.Print_Area" localSheetId="22">'Staff LG Total Chelan'!$F$2:$N$49</definedName>
    <definedName name="_xlnm.Print_Area" localSheetId="24">'Staff LG Total Douglas'!$F$2:$N$49</definedName>
    <definedName name="_xlnm.Print_Area" localSheetId="26">'Staff LG Total Okanogan'!$F$2:$N$49</definedName>
    <definedName name="_xlnm.Print_Area" localSheetId="34">'Wage Summary'!$A$1:$R$64</definedName>
    <definedName name="_xlnm.Print_Area" localSheetId="16">'Wutc Balance Sheet'!$A$1:$I$228</definedName>
    <definedName name="_xlnm.Print_Area">DEPN2K!$A$1:$AA$37</definedName>
    <definedName name="Print_Area_MI" localSheetId="1">#REF!</definedName>
    <definedName name="Print_Area_MI" localSheetId="22">#REF!</definedName>
    <definedName name="Print_Area_MI" localSheetId="24">#REF!</definedName>
    <definedName name="Print_Area_MI" localSheetId="26">#REF!</definedName>
    <definedName name="Print_Area_MI">DEPN2K!$A$1:$AA$37</definedName>
    <definedName name="Print_Area_MIc" localSheetId="1">#REF!</definedName>
    <definedName name="Print_Area_MIc" localSheetId="22">#REF!</definedName>
    <definedName name="Print_Area_MIc" localSheetId="24">#REF!</definedName>
    <definedName name="Print_Area_MIc" localSheetId="26">#REF!</definedName>
    <definedName name="Print_Area_MIc">#REF!</definedName>
    <definedName name="_xlnm.Print_Titles" localSheetId="33">'Service Counts'!$A:$B,'Service Counts'!$1:$8</definedName>
    <definedName name="regDebt_weighted" localSheetId="1">'Staff LG Total'!$U$56</definedName>
    <definedName name="regDebt_weighted" localSheetId="22">'Staff LG Total Chelan'!$U$56</definedName>
    <definedName name="regDebt_weighted" localSheetId="24">'Staff LG Total Douglas'!$U$56</definedName>
    <definedName name="regDebt_weighted" localSheetId="26">'Staff LG Total Okanogan'!$U$56</definedName>
    <definedName name="Revenue" localSheetId="1">'Staff LG Total'!$I$7</definedName>
    <definedName name="Revenue" localSheetId="22">'Staff LG Total Chelan'!$I$7</definedName>
    <definedName name="Revenue" localSheetId="24">'Staff LG Total Douglas'!$I$7</definedName>
    <definedName name="Revenue" localSheetId="26">'Staff LG Total Okanogan'!$I$7</definedName>
    <definedName name="slope" localSheetId="1">'Staff LG Total'!$Y$58</definedName>
    <definedName name="slope" localSheetId="22">'Staff LG Total Chelan'!$Y$58</definedName>
    <definedName name="slope" localSheetId="24">'Staff LG Total Douglas'!$Y$58</definedName>
    <definedName name="slope" localSheetId="26">'Staff LG Total Okanogan'!$Y$58</definedName>
    <definedName name="slope">#REF!</definedName>
    <definedName name="ssssss" localSheetId="22">#REF!</definedName>
    <definedName name="ssssss" localSheetId="24">#REF!</definedName>
    <definedName name="ssssss" localSheetId="26">#REF!</definedName>
    <definedName name="ssssss">#REF!</definedName>
    <definedName name="taxrate" localSheetId="1">'Staff LG Total'!$J$38</definedName>
    <definedName name="taxrate" localSheetId="22">'Staff LG Total Chelan'!$J$38</definedName>
    <definedName name="taxrate" localSheetId="24">'Staff LG Total Douglas'!$J$38</definedName>
    <definedName name="taxrate" localSheetId="26">'Staff LG Total Okanogan'!$J$38</definedName>
    <definedName name="y_inter1" localSheetId="1">'Staff LG Total'!$X$55</definedName>
    <definedName name="y_inter1" localSheetId="22">'Staff LG Total Chelan'!$X$55</definedName>
    <definedName name="y_inter1" localSheetId="24">'Staff LG Total Douglas'!$X$55</definedName>
    <definedName name="y_inter1" localSheetId="26">'Staff LG Total Okanogan'!$X$55</definedName>
    <definedName name="y_inter1">#REF!</definedName>
    <definedName name="y_inter2" localSheetId="1">'Staff LG Total'!$X$56</definedName>
    <definedName name="y_inter2" localSheetId="22">'Staff LG Total Chelan'!$X$56</definedName>
    <definedName name="y_inter2" localSheetId="24">'Staff LG Total Douglas'!$X$56</definedName>
    <definedName name="y_inter2" localSheetId="26">'Staff LG Total Okanogan'!$X$56</definedName>
    <definedName name="y_inter2">#REF!</definedName>
    <definedName name="y_inter3" localSheetId="1">'Staff LG Total'!$Z$55</definedName>
    <definedName name="y_inter3" localSheetId="22">'Staff LG Total Chelan'!$Z$55</definedName>
    <definedName name="y_inter3" localSheetId="24">'Staff LG Total Douglas'!$Z$55</definedName>
    <definedName name="y_inter3" localSheetId="26">'Staff LG Total Okanogan'!$Z$55</definedName>
    <definedName name="y_inter3">#REF!</definedName>
    <definedName name="y_inter4" localSheetId="1">'Staff LG Total'!$Z$56</definedName>
    <definedName name="y_inter4" localSheetId="22">'Staff LG Total Chelan'!$Z$56</definedName>
    <definedName name="y_inter4" localSheetId="24">'Staff LG Total Douglas'!$Z$56</definedName>
    <definedName name="y_inter4" localSheetId="26">'Staff LG Total Okanogan'!$Z$56</definedName>
    <definedName name="y_inter4">#REF!</definedName>
  </definedNames>
  <calcPr calcId="152511" iterate="1" iterateCount="200"/>
</workbook>
</file>

<file path=xl/calcChain.xml><?xml version="1.0" encoding="utf-8"?>
<calcChain xmlns="http://schemas.openxmlformats.org/spreadsheetml/2006/main">
  <c r="D101" i="7" l="1"/>
  <c r="T29" i="49" l="1"/>
  <c r="T27" i="49"/>
  <c r="T26" i="49"/>
  <c r="T25" i="49"/>
  <c r="T24" i="49"/>
  <c r="T23" i="49"/>
  <c r="T22" i="49"/>
  <c r="T21" i="49"/>
  <c r="T20" i="49"/>
  <c r="T19" i="49"/>
  <c r="T18" i="49"/>
  <c r="T16" i="49"/>
  <c r="T15" i="49"/>
  <c r="T14" i="49"/>
  <c r="T13" i="49"/>
  <c r="T12" i="49"/>
  <c r="S12" i="49"/>
  <c r="AI33" i="48"/>
  <c r="AH33" i="48"/>
  <c r="AG33" i="48"/>
  <c r="AF33" i="48"/>
  <c r="AE33" i="48"/>
  <c r="AD33" i="48"/>
  <c r="AC33" i="48"/>
  <c r="AI31" i="48"/>
  <c r="AH31" i="48"/>
  <c r="AG31" i="48"/>
  <c r="AF31" i="48"/>
  <c r="AE31" i="48"/>
  <c r="AD31" i="48"/>
  <c r="AC31" i="48"/>
  <c r="AI30" i="48"/>
  <c r="AH30" i="48"/>
  <c r="AG30" i="48"/>
  <c r="AF30" i="48"/>
  <c r="AE30" i="48"/>
  <c r="AD30" i="48"/>
  <c r="AC30" i="48"/>
  <c r="AI29" i="48"/>
  <c r="AH29" i="48"/>
  <c r="AG29" i="48"/>
  <c r="AF29" i="48"/>
  <c r="AE29" i="48"/>
  <c r="AD29" i="48"/>
  <c r="AC29" i="48"/>
  <c r="AI28" i="48"/>
  <c r="AH28" i="48"/>
  <c r="AG28" i="48"/>
  <c r="AF28" i="48"/>
  <c r="AE28" i="48"/>
  <c r="AD28" i="48"/>
  <c r="AC28" i="48"/>
  <c r="AI27" i="48"/>
  <c r="AH27" i="48"/>
  <c r="AG27" i="48"/>
  <c r="AF27" i="48"/>
  <c r="AE27" i="48"/>
  <c r="AD27" i="48"/>
  <c r="AC27" i="48"/>
  <c r="AI26" i="48"/>
  <c r="AH26" i="48"/>
  <c r="AG26" i="48"/>
  <c r="AF26" i="48"/>
  <c r="AE26" i="48"/>
  <c r="AD26" i="48"/>
  <c r="AC26" i="48"/>
  <c r="AI25" i="48"/>
  <c r="AH25" i="48"/>
  <c r="AG25" i="48"/>
  <c r="AF25" i="48"/>
  <c r="AE25" i="48"/>
  <c r="AD25" i="48"/>
  <c r="AC25" i="48"/>
  <c r="AI24" i="48"/>
  <c r="AH24" i="48"/>
  <c r="AG24" i="48"/>
  <c r="AF24" i="48"/>
  <c r="AE24" i="48"/>
  <c r="AD24" i="48"/>
  <c r="AC24" i="48"/>
  <c r="AI23" i="48"/>
  <c r="AH23" i="48"/>
  <c r="AG23" i="48"/>
  <c r="AF23" i="48"/>
  <c r="AE23" i="48"/>
  <c r="AD23" i="48"/>
  <c r="AC23" i="48"/>
  <c r="AI22" i="48"/>
  <c r="AH22" i="48"/>
  <c r="AG22" i="48"/>
  <c r="AF22" i="48"/>
  <c r="AE22" i="48"/>
  <c r="AD22" i="48"/>
  <c r="AC22" i="48"/>
  <c r="AI21" i="48"/>
  <c r="AH21" i="48"/>
  <c r="AG21" i="48"/>
  <c r="AF21" i="48"/>
  <c r="AE21" i="48"/>
  <c r="AD21" i="48"/>
  <c r="AC21" i="48"/>
  <c r="AI20" i="48"/>
  <c r="AH20" i="48"/>
  <c r="AG20" i="48"/>
  <c r="AF20" i="48"/>
  <c r="AE20" i="48"/>
  <c r="AD20" i="48"/>
  <c r="AC20" i="48"/>
  <c r="AI19" i="48"/>
  <c r="AH19" i="48"/>
  <c r="AG19" i="48"/>
  <c r="AF19" i="48"/>
  <c r="AE19" i="48"/>
  <c r="AD19" i="48"/>
  <c r="AC19" i="48"/>
  <c r="AI18" i="48"/>
  <c r="AH18" i="48"/>
  <c r="AG18" i="48"/>
  <c r="AF18" i="48"/>
  <c r="AE18" i="48"/>
  <c r="AD18" i="48"/>
  <c r="AC18" i="48"/>
  <c r="AI16" i="48"/>
  <c r="AH16" i="48"/>
  <c r="AG16" i="48"/>
  <c r="AF16" i="48"/>
  <c r="AE16" i="48"/>
  <c r="AD16" i="48"/>
  <c r="AC16" i="48"/>
  <c r="AI15" i="48"/>
  <c r="AH15" i="48"/>
  <c r="AG15" i="48"/>
  <c r="AF15" i="48"/>
  <c r="AE15" i="48"/>
  <c r="AD15" i="48"/>
  <c r="AC15" i="48"/>
  <c r="AI14" i="48"/>
  <c r="AH14" i="48"/>
  <c r="AG14" i="48"/>
  <c r="AF14" i="48"/>
  <c r="AE14" i="48"/>
  <c r="AD14" i="48"/>
  <c r="AC14" i="48"/>
  <c r="AI13" i="48"/>
  <c r="AH13" i="48"/>
  <c r="AG13" i="48"/>
  <c r="AF13" i="48"/>
  <c r="AE13" i="48"/>
  <c r="AD13" i="48"/>
  <c r="AC13" i="48"/>
  <c r="AG12" i="48"/>
  <c r="AF12" i="48"/>
  <c r="AE12" i="48"/>
  <c r="AD12" i="48"/>
  <c r="AC12" i="48"/>
  <c r="AB33" i="48"/>
  <c r="AB31" i="48"/>
  <c r="AB30" i="48"/>
  <c r="AB29" i="48"/>
  <c r="AB28" i="48"/>
  <c r="AB27" i="48"/>
  <c r="AB26" i="48"/>
  <c r="AB25" i="48"/>
  <c r="AB24" i="48"/>
  <c r="AB23" i="48"/>
  <c r="AB22" i="48"/>
  <c r="AB21" i="48"/>
  <c r="AB20" i="48"/>
  <c r="AB19" i="48"/>
  <c r="AB18" i="48"/>
  <c r="AB16" i="48"/>
  <c r="AB15" i="48"/>
  <c r="AB14" i="48"/>
  <c r="AB13" i="48"/>
  <c r="AB12" i="48"/>
  <c r="AA33" i="48"/>
  <c r="AA31" i="48"/>
  <c r="AA30" i="48"/>
  <c r="AA29" i="48"/>
  <c r="AA28" i="48"/>
  <c r="AA27" i="48"/>
  <c r="AA26" i="48"/>
  <c r="AA25" i="48"/>
  <c r="AA24" i="48"/>
  <c r="AA23" i="48"/>
  <c r="AA22" i="48"/>
  <c r="AA21" i="48"/>
  <c r="AA20" i="48"/>
  <c r="AA19" i="48"/>
  <c r="AA18" i="48"/>
  <c r="AA16" i="48"/>
  <c r="AA15" i="48"/>
  <c r="AA14" i="48"/>
  <c r="AA13" i="48"/>
  <c r="AA12" i="48"/>
  <c r="Z33" i="48"/>
  <c r="Z31" i="48"/>
  <c r="Z30" i="48"/>
  <c r="Z29" i="48"/>
  <c r="Z28" i="48"/>
  <c r="Z27" i="48"/>
  <c r="Z26" i="48"/>
  <c r="Z25" i="48"/>
  <c r="Z24" i="48"/>
  <c r="Z23" i="48"/>
  <c r="Z22" i="48"/>
  <c r="Z21" i="48"/>
  <c r="Z20" i="48"/>
  <c r="Z19" i="48"/>
  <c r="Z18" i="48"/>
  <c r="Z16" i="48"/>
  <c r="Z15" i="48"/>
  <c r="Z14" i="48"/>
  <c r="Z13" i="48"/>
  <c r="Z12" i="48"/>
  <c r="Y33" i="48"/>
  <c r="Y31" i="48"/>
  <c r="Y30" i="48"/>
  <c r="Y29" i="48"/>
  <c r="Y28" i="48"/>
  <c r="Y27" i="48"/>
  <c r="Y26" i="48"/>
  <c r="Y25" i="48"/>
  <c r="Y24" i="48"/>
  <c r="Y23" i="48"/>
  <c r="Y22" i="48"/>
  <c r="Y21" i="48"/>
  <c r="Y20" i="48"/>
  <c r="Y19" i="48"/>
  <c r="Y18" i="48"/>
  <c r="Y16" i="48"/>
  <c r="Y15" i="48"/>
  <c r="Y14" i="48"/>
  <c r="Y13" i="48"/>
  <c r="Y12" i="48"/>
  <c r="X33" i="48"/>
  <c r="X31" i="48"/>
  <c r="X30" i="48"/>
  <c r="X29" i="48"/>
  <c r="X28" i="48"/>
  <c r="X27" i="48"/>
  <c r="X26" i="48"/>
  <c r="X25" i="48"/>
  <c r="X24" i="48"/>
  <c r="X23" i="48"/>
  <c r="X22" i="48"/>
  <c r="X21" i="48"/>
  <c r="X20" i="48"/>
  <c r="X19" i="48"/>
  <c r="X18" i="48"/>
  <c r="X16" i="48"/>
  <c r="X15" i="48"/>
  <c r="X14" i="48"/>
  <c r="X13" i="48"/>
  <c r="X12" i="48"/>
  <c r="T33" i="48"/>
  <c r="T31" i="48"/>
  <c r="T30" i="48"/>
  <c r="T29" i="48"/>
  <c r="T28" i="48"/>
  <c r="T27" i="48"/>
  <c r="T26" i="48"/>
  <c r="T25" i="48"/>
  <c r="T24" i="48"/>
  <c r="T23" i="48"/>
  <c r="T22" i="48"/>
  <c r="T21" i="48"/>
  <c r="T20" i="48"/>
  <c r="T19" i="48"/>
  <c r="T18" i="48"/>
  <c r="T16" i="48"/>
  <c r="T15" i="48"/>
  <c r="T14" i="48"/>
  <c r="T13" i="48"/>
  <c r="T12" i="48"/>
  <c r="S33" i="48"/>
  <c r="S31" i="48"/>
  <c r="S30" i="48"/>
  <c r="S29" i="48"/>
  <c r="S28" i="48"/>
  <c r="S27" i="48"/>
  <c r="S26" i="48"/>
  <c r="S25" i="48"/>
  <c r="S24" i="48"/>
  <c r="S23" i="48"/>
  <c r="S22" i="48"/>
  <c r="S21" i="48"/>
  <c r="S20" i="48"/>
  <c r="S19" i="48"/>
  <c r="S18" i="48"/>
  <c r="S16" i="48"/>
  <c r="S15" i="48"/>
  <c r="S14" i="48"/>
  <c r="S13" i="48"/>
  <c r="S12" i="48"/>
  <c r="AX21" i="68" l="1"/>
  <c r="Q39" i="32"/>
  <c r="Q43" i="32"/>
  <c r="Q41" i="32"/>
  <c r="Q40" i="32"/>
  <c r="Q44" i="32"/>
  <c r="Q42" i="32"/>
  <c r="C55" i="21"/>
  <c r="H55" i="69"/>
  <c r="H55" i="2"/>
  <c r="I90" i="9"/>
  <c r="I88" i="9"/>
  <c r="H86" i="2"/>
  <c r="S59" i="80"/>
  <c r="U57" i="80"/>
  <c r="U56" i="80"/>
  <c r="J46" i="80"/>
  <c r="J45" i="80"/>
  <c r="J44" i="80"/>
  <c r="J43" i="80"/>
  <c r="V39" i="80"/>
  <c r="J38" i="80"/>
  <c r="Y68" i="80" s="1"/>
  <c r="V29" i="80"/>
  <c r="V27" i="80"/>
  <c r="K27" i="80"/>
  <c r="I27" i="80"/>
  <c r="V26" i="80"/>
  <c r="V24" i="80"/>
  <c r="V23" i="80"/>
  <c r="V21" i="80"/>
  <c r="V12" i="80"/>
  <c r="V11" i="80"/>
  <c r="F11" i="80"/>
  <c r="F12" i="80" s="1"/>
  <c r="F13" i="80" s="1"/>
  <c r="F14" i="80" s="1"/>
  <c r="F15" i="80" s="1"/>
  <c r="F16" i="80" s="1"/>
  <c r="F17" i="80" s="1"/>
  <c r="F18" i="80" s="1"/>
  <c r="F19" i="80" s="1"/>
  <c r="F20" i="80" s="1"/>
  <c r="F21" i="80" s="1"/>
  <c r="F22" i="80" s="1"/>
  <c r="F23" i="80" s="1"/>
  <c r="F24" i="80" s="1"/>
  <c r="F25" i="80" s="1"/>
  <c r="F26" i="80" s="1"/>
  <c r="F27" i="80" s="1"/>
  <c r="F28" i="80" s="1"/>
  <c r="F29" i="80" s="1"/>
  <c r="F30" i="80" s="1"/>
  <c r="F31" i="80" s="1"/>
  <c r="F32" i="80" s="1"/>
  <c r="F33" i="80" s="1"/>
  <c r="F34" i="80" s="1"/>
  <c r="F35" i="80" s="1"/>
  <c r="F36" i="80" s="1"/>
  <c r="F37" i="80" s="1"/>
  <c r="F38" i="80" s="1"/>
  <c r="F39" i="80" s="1"/>
  <c r="F40" i="80" s="1"/>
  <c r="F41" i="80" s="1"/>
  <c r="F42" i="80" s="1"/>
  <c r="F43" i="80" s="1"/>
  <c r="F44" i="80" s="1"/>
  <c r="F45" i="80" s="1"/>
  <c r="F46" i="80" s="1"/>
  <c r="F47" i="80" s="1"/>
  <c r="F48" i="80" s="1"/>
  <c r="F49" i="80" s="1"/>
  <c r="F8" i="80"/>
  <c r="F9" i="80" s="1"/>
  <c r="F10" i="80" s="1"/>
  <c r="V7" i="80"/>
  <c r="V6" i="80"/>
  <c r="S59" i="79"/>
  <c r="U57" i="79"/>
  <c r="U56" i="79"/>
  <c r="V33" i="79" s="1"/>
  <c r="J46" i="79"/>
  <c r="J45" i="79"/>
  <c r="J44" i="79"/>
  <c r="J43" i="79"/>
  <c r="V39" i="79"/>
  <c r="K38" i="79"/>
  <c r="Z68" i="79" s="1"/>
  <c r="J38" i="79"/>
  <c r="Y68" i="79" s="1"/>
  <c r="V37" i="79"/>
  <c r="AA36" i="79"/>
  <c r="V29" i="79"/>
  <c r="V27" i="79"/>
  <c r="K27" i="79"/>
  <c r="I27" i="79"/>
  <c r="AA33" i="79" s="1"/>
  <c r="V23" i="79"/>
  <c r="V21" i="79"/>
  <c r="V12" i="79"/>
  <c r="V9" i="79"/>
  <c r="F8" i="79"/>
  <c r="F9" i="79" s="1"/>
  <c r="F10" i="79" s="1"/>
  <c r="F11" i="79" s="1"/>
  <c r="F12" i="79" s="1"/>
  <c r="F13" i="79" s="1"/>
  <c r="F14" i="79" s="1"/>
  <c r="F15" i="79" s="1"/>
  <c r="F16" i="79" s="1"/>
  <c r="F17" i="79" s="1"/>
  <c r="F18" i="79" s="1"/>
  <c r="F19" i="79" s="1"/>
  <c r="F20" i="79" s="1"/>
  <c r="F21" i="79" s="1"/>
  <c r="F22" i="79" s="1"/>
  <c r="F23" i="79" s="1"/>
  <c r="F24" i="79" s="1"/>
  <c r="F25" i="79" s="1"/>
  <c r="F26" i="79" s="1"/>
  <c r="F27" i="79" s="1"/>
  <c r="F28" i="79" s="1"/>
  <c r="F29" i="79" s="1"/>
  <c r="F30" i="79" s="1"/>
  <c r="F31" i="79" s="1"/>
  <c r="F32" i="79" s="1"/>
  <c r="F33" i="79" s="1"/>
  <c r="F34" i="79" s="1"/>
  <c r="F35" i="79" s="1"/>
  <c r="F36" i="79" s="1"/>
  <c r="F37" i="79" s="1"/>
  <c r="F38" i="79" s="1"/>
  <c r="F39" i="79" s="1"/>
  <c r="F40" i="79" s="1"/>
  <c r="F41" i="79" s="1"/>
  <c r="F42" i="79" s="1"/>
  <c r="F43" i="79" s="1"/>
  <c r="F44" i="79" s="1"/>
  <c r="F45" i="79" s="1"/>
  <c r="F46" i="79" s="1"/>
  <c r="F47" i="79" s="1"/>
  <c r="F48" i="79" s="1"/>
  <c r="F49" i="79" s="1"/>
  <c r="V7" i="79"/>
  <c r="S59" i="78"/>
  <c r="U57" i="78"/>
  <c r="U56" i="78"/>
  <c r="J47" i="78"/>
  <c r="J46" i="78"/>
  <c r="J45" i="78"/>
  <c r="J44" i="78"/>
  <c r="J43" i="78"/>
  <c r="J38" i="78"/>
  <c r="V29" i="78"/>
  <c r="V28" i="78"/>
  <c r="K27" i="78"/>
  <c r="I27" i="78"/>
  <c r="AA33" i="78" s="1"/>
  <c r="V23" i="78"/>
  <c r="V11" i="78"/>
  <c r="F8" i="78"/>
  <c r="F9" i="78" s="1"/>
  <c r="F10" i="78" s="1"/>
  <c r="F11" i="78" s="1"/>
  <c r="F12" i="78" s="1"/>
  <c r="F13" i="78" s="1"/>
  <c r="F14" i="78" s="1"/>
  <c r="F15" i="78" s="1"/>
  <c r="F16" i="78" s="1"/>
  <c r="F17" i="78" s="1"/>
  <c r="F18" i="78" s="1"/>
  <c r="F19" i="78" s="1"/>
  <c r="F20" i="78" s="1"/>
  <c r="F21" i="78" s="1"/>
  <c r="F22" i="78" s="1"/>
  <c r="F23" i="78" s="1"/>
  <c r="F24" i="78" s="1"/>
  <c r="F25" i="78" s="1"/>
  <c r="F26" i="78" s="1"/>
  <c r="F27" i="78" s="1"/>
  <c r="F28" i="78" s="1"/>
  <c r="F29" i="78" s="1"/>
  <c r="F30" i="78" s="1"/>
  <c r="F31" i="78" s="1"/>
  <c r="F32" i="78" s="1"/>
  <c r="F33" i="78" s="1"/>
  <c r="F34" i="78" s="1"/>
  <c r="F35" i="78" s="1"/>
  <c r="F36" i="78" s="1"/>
  <c r="F37" i="78" s="1"/>
  <c r="F38" i="78" s="1"/>
  <c r="F39" i="78" s="1"/>
  <c r="F40" i="78" s="1"/>
  <c r="F41" i="78" s="1"/>
  <c r="F42" i="78" s="1"/>
  <c r="F43" i="78" s="1"/>
  <c r="F44" i="78" s="1"/>
  <c r="F45" i="78" s="1"/>
  <c r="F46" i="78" s="1"/>
  <c r="F47" i="78" s="1"/>
  <c r="F48" i="78" s="1"/>
  <c r="F49" i="78" s="1"/>
  <c r="V7" i="78"/>
  <c r="V6" i="78"/>
  <c r="V6" i="73"/>
  <c r="F8" i="73"/>
  <c r="F9" i="73" s="1"/>
  <c r="F10" i="73" s="1"/>
  <c r="F11" i="73" s="1"/>
  <c r="F12" i="73" s="1"/>
  <c r="F13" i="73" s="1"/>
  <c r="F14" i="73" s="1"/>
  <c r="F15" i="73" s="1"/>
  <c r="F16" i="73" s="1"/>
  <c r="F17" i="73" s="1"/>
  <c r="F18" i="73" s="1"/>
  <c r="F19" i="73" s="1"/>
  <c r="F20" i="73" s="1"/>
  <c r="F21" i="73" s="1"/>
  <c r="F22" i="73" s="1"/>
  <c r="F23" i="73" s="1"/>
  <c r="F24" i="73" s="1"/>
  <c r="F25" i="73" s="1"/>
  <c r="F26" i="73" s="1"/>
  <c r="F27" i="73" s="1"/>
  <c r="F28" i="73" s="1"/>
  <c r="F29" i="73" s="1"/>
  <c r="F30" i="73" s="1"/>
  <c r="F31" i="73" s="1"/>
  <c r="F32" i="73" s="1"/>
  <c r="F33" i="73" s="1"/>
  <c r="F34" i="73" s="1"/>
  <c r="F35" i="73" s="1"/>
  <c r="F36" i="73" s="1"/>
  <c r="F37" i="73" s="1"/>
  <c r="F38" i="73" s="1"/>
  <c r="F39" i="73" s="1"/>
  <c r="F40" i="73" s="1"/>
  <c r="F41" i="73" s="1"/>
  <c r="F42" i="73" s="1"/>
  <c r="F43" i="73" s="1"/>
  <c r="F44" i="73" s="1"/>
  <c r="F45" i="73" s="1"/>
  <c r="F46" i="73" s="1"/>
  <c r="F47" i="73" s="1"/>
  <c r="F48" i="73" s="1"/>
  <c r="F49" i="73" s="1"/>
  <c r="V8" i="73"/>
  <c r="V9" i="73"/>
  <c r="V11" i="73"/>
  <c r="V13" i="73"/>
  <c r="V14" i="73"/>
  <c r="V16" i="73"/>
  <c r="V17" i="73"/>
  <c r="V19" i="73"/>
  <c r="V21" i="73"/>
  <c r="V22" i="73"/>
  <c r="V24" i="73"/>
  <c r="V26" i="73"/>
  <c r="I27" i="73"/>
  <c r="K27" i="73"/>
  <c r="V27" i="73"/>
  <c r="V29" i="73"/>
  <c r="V31" i="73"/>
  <c r="V32" i="73"/>
  <c r="V33" i="73"/>
  <c r="V34" i="73"/>
  <c r="V36" i="73"/>
  <c r="V37" i="73"/>
  <c r="J38" i="73"/>
  <c r="K38" i="73"/>
  <c r="Z68" i="73" s="1"/>
  <c r="V38" i="73"/>
  <c r="J43" i="73"/>
  <c r="J44" i="73"/>
  <c r="J45" i="73"/>
  <c r="J46" i="73"/>
  <c r="U56" i="73"/>
  <c r="V12" i="73" s="1"/>
  <c r="U57" i="73"/>
  <c r="S59" i="73"/>
  <c r="Y68" i="73"/>
  <c r="AA37" i="80" l="1"/>
  <c r="AA29" i="80"/>
  <c r="AA27" i="80"/>
  <c r="AA13" i="80"/>
  <c r="AA11" i="80"/>
  <c r="AA6" i="80"/>
  <c r="AA23" i="80"/>
  <c r="AA18" i="80"/>
  <c r="AA7" i="80"/>
  <c r="AA39" i="80"/>
  <c r="AA28" i="80"/>
  <c r="AA12" i="80"/>
  <c r="AA17" i="80"/>
  <c r="AA38" i="80"/>
  <c r="AA32" i="80"/>
  <c r="AA26" i="80"/>
  <c r="AA34" i="80"/>
  <c r="I26" i="80"/>
  <c r="AA24" i="80"/>
  <c r="AA19" i="80"/>
  <c r="AA14" i="80"/>
  <c r="AA8" i="80"/>
  <c r="AA16" i="80"/>
  <c r="AA21" i="80"/>
  <c r="AA22" i="80"/>
  <c r="AA9" i="80"/>
  <c r="AA36" i="80"/>
  <c r="AA31" i="80"/>
  <c r="AA33" i="80"/>
  <c r="V34" i="80"/>
  <c r="V32" i="80"/>
  <c r="V22" i="80"/>
  <c r="V17" i="80"/>
  <c r="V14" i="80"/>
  <c r="V8" i="80"/>
  <c r="V38" i="80"/>
  <c r="V36" i="80"/>
  <c r="V31" i="80"/>
  <c r="V19" i="80"/>
  <c r="V16" i="80"/>
  <c r="V9" i="80"/>
  <c r="V37" i="80"/>
  <c r="V33" i="80"/>
  <c r="V28" i="80"/>
  <c r="V18" i="80"/>
  <c r="V13" i="80"/>
  <c r="J47" i="80"/>
  <c r="L27" i="80"/>
  <c r="K38" i="80"/>
  <c r="Z68" i="80" s="1"/>
  <c r="AA9" i="79"/>
  <c r="AA16" i="79"/>
  <c r="AA21" i="79"/>
  <c r="AA31" i="79"/>
  <c r="AA17" i="79"/>
  <c r="AA22" i="79"/>
  <c r="V34" i="79"/>
  <c r="V32" i="79"/>
  <c r="V22" i="79"/>
  <c r="V17" i="79"/>
  <c r="V14" i="79"/>
  <c r="V8" i="79"/>
  <c r="V38" i="79"/>
  <c r="V36" i="79"/>
  <c r="V31" i="79"/>
  <c r="V19" i="79"/>
  <c r="V16" i="79"/>
  <c r="V28" i="79"/>
  <c r="V18" i="79"/>
  <c r="V24" i="79"/>
  <c r="V11" i="79"/>
  <c r="V26" i="79"/>
  <c r="V13" i="79"/>
  <c r="V6" i="79"/>
  <c r="AA37" i="79"/>
  <c r="AA29" i="79"/>
  <c r="AA27" i="79"/>
  <c r="AA13" i="79"/>
  <c r="AA11" i="79"/>
  <c r="AA6" i="79"/>
  <c r="AA23" i="79"/>
  <c r="AA18" i="79"/>
  <c r="AA7" i="79"/>
  <c r="AA34" i="79"/>
  <c r="AA32" i="79"/>
  <c r="AA39" i="79"/>
  <c r="AA28" i="79"/>
  <c r="AA12" i="79"/>
  <c r="J47" i="79"/>
  <c r="AA8" i="79"/>
  <c r="AA26" i="79"/>
  <c r="AA38" i="79"/>
  <c r="AA14" i="79"/>
  <c r="AA19" i="79"/>
  <c r="AA24" i="79"/>
  <c r="I26" i="79"/>
  <c r="L27" i="79"/>
  <c r="L27" i="78"/>
  <c r="V34" i="78"/>
  <c r="V32" i="78"/>
  <c r="V22" i="78"/>
  <c r="V17" i="78"/>
  <c r="V14" i="78"/>
  <c r="V8" i="78"/>
  <c r="V38" i="78"/>
  <c r="V36" i="78"/>
  <c r="V31" i="78"/>
  <c r="V19" i="78"/>
  <c r="V16" i="78"/>
  <c r="V21" i="78"/>
  <c r="V9" i="78"/>
  <c r="V33" i="78"/>
  <c r="V26" i="78"/>
  <c r="V24" i="78"/>
  <c r="V37" i="78"/>
  <c r="AA9" i="78"/>
  <c r="AA24" i="78"/>
  <c r="AA26" i="78"/>
  <c r="V18" i="78"/>
  <c r="V27" i="78"/>
  <c r="V39" i="78"/>
  <c r="AA37" i="78"/>
  <c r="AA29" i="78"/>
  <c r="AA27" i="78"/>
  <c r="AA13" i="78"/>
  <c r="AA11" i="78"/>
  <c r="AA6" i="78"/>
  <c r="AA31" i="78"/>
  <c r="AA23" i="78"/>
  <c r="AA18" i="78"/>
  <c r="AA7" i="78"/>
  <c r="AA39" i="78"/>
  <c r="AA28" i="78"/>
  <c r="AA12" i="78"/>
  <c r="AA34" i="78"/>
  <c r="AA32" i="78"/>
  <c r="AA22" i="78"/>
  <c r="AA17" i="78"/>
  <c r="AA14" i="78"/>
  <c r="AA8" i="78"/>
  <c r="AA38" i="78"/>
  <c r="AA36" i="78"/>
  <c r="I26" i="78"/>
  <c r="AA16" i="78"/>
  <c r="AA19" i="78"/>
  <c r="AA21" i="78"/>
  <c r="V12" i="78"/>
  <c r="V13" i="78"/>
  <c r="Y68" i="78"/>
  <c r="K38" i="78"/>
  <c r="Z68" i="78" s="1"/>
  <c r="L27" i="73"/>
  <c r="AA16" i="73"/>
  <c r="AA12" i="73"/>
  <c r="AA11" i="73"/>
  <c r="AA39" i="73"/>
  <c r="AA38" i="73"/>
  <c r="AA34" i="73"/>
  <c r="AA27" i="73"/>
  <c r="AA14" i="73"/>
  <c r="AA13" i="73"/>
  <c r="AA6" i="73"/>
  <c r="AA24" i="73"/>
  <c r="AA26" i="73"/>
  <c r="AA33" i="73"/>
  <c r="AA9" i="73"/>
  <c r="AA21" i="73"/>
  <c r="AA18" i="73"/>
  <c r="AA31" i="73"/>
  <c r="AA8" i="73"/>
  <c r="AA17" i="73"/>
  <c r="I26" i="73"/>
  <c r="AA7" i="73"/>
  <c r="AA23" i="73"/>
  <c r="AA22" i="73"/>
  <c r="J47" i="73"/>
  <c r="AA37" i="73"/>
  <c r="AA32" i="73"/>
  <c r="AA36" i="73"/>
  <c r="AA19" i="73"/>
  <c r="AA29" i="73"/>
  <c r="AA28" i="73"/>
  <c r="V23" i="73"/>
  <c r="V18" i="73"/>
  <c r="V7" i="73"/>
  <c r="V39" i="73"/>
  <c r="V28" i="73"/>
  <c r="H86" i="69"/>
  <c r="J96" i="9"/>
  <c r="L352" i="68"/>
  <c r="L351" i="68"/>
  <c r="L325" i="68"/>
  <c r="AG323" i="68"/>
  <c r="AF323" i="68"/>
  <c r="AD323" i="68"/>
  <c r="AC323" i="68"/>
  <c r="Q323" i="68"/>
  <c r="N323" i="68"/>
  <c r="O323" i="68" s="1"/>
  <c r="I323" i="68"/>
  <c r="AE323" i="68" s="1"/>
  <c r="L318" i="68"/>
  <c r="AG314" i="68"/>
  <c r="AF314" i="68"/>
  <c r="AE314" i="68"/>
  <c r="AD314" i="68"/>
  <c r="AC314" i="68"/>
  <c r="Q314" i="68"/>
  <c r="N314" i="68"/>
  <c r="O314" i="68" s="1"/>
  <c r="I314" i="68"/>
  <c r="L271" i="68"/>
  <c r="AG267" i="68"/>
  <c r="AF267" i="68"/>
  <c r="AE267" i="68"/>
  <c r="AD267" i="68"/>
  <c r="AC267" i="68"/>
  <c r="Q267" i="68"/>
  <c r="N267" i="68"/>
  <c r="O267" i="68" s="1"/>
  <c r="P267" i="68" s="1"/>
  <c r="T267" i="68" s="1"/>
  <c r="I267" i="68"/>
  <c r="AG266" i="68"/>
  <c r="AF266" i="68"/>
  <c r="AE266" i="68"/>
  <c r="AD266" i="68"/>
  <c r="AC266" i="68"/>
  <c r="Q266" i="68"/>
  <c r="N266" i="68"/>
  <c r="O266" i="68" s="1"/>
  <c r="I266" i="68"/>
  <c r="AG265" i="68"/>
  <c r="AF265" i="68"/>
  <c r="AE265" i="68"/>
  <c r="AD265" i="68"/>
  <c r="AC265" i="68"/>
  <c r="Q265" i="68"/>
  <c r="N265" i="68"/>
  <c r="O265" i="68" s="1"/>
  <c r="I265" i="68"/>
  <c r="L234" i="68"/>
  <c r="AG200" i="68"/>
  <c r="AF200" i="68"/>
  <c r="AD200" i="68"/>
  <c r="AC200" i="68"/>
  <c r="Q200" i="68"/>
  <c r="N200" i="68"/>
  <c r="O200" i="68" s="1"/>
  <c r="I200" i="68"/>
  <c r="AE200" i="68" s="1"/>
  <c r="AG199" i="68"/>
  <c r="AF199" i="68"/>
  <c r="AD199" i="68"/>
  <c r="AC199" i="68"/>
  <c r="Q199" i="68"/>
  <c r="N199" i="68"/>
  <c r="O199" i="68" s="1"/>
  <c r="I199" i="68"/>
  <c r="AE199" i="68" s="1"/>
  <c r="AG198" i="68"/>
  <c r="AF198" i="68"/>
  <c r="AD198" i="68"/>
  <c r="AC198" i="68"/>
  <c r="Q198" i="68"/>
  <c r="N198" i="68"/>
  <c r="O198" i="68" s="1"/>
  <c r="I198" i="68"/>
  <c r="AE198" i="68" s="1"/>
  <c r="AG197" i="68"/>
  <c r="AF197" i="68"/>
  <c r="AD197" i="68"/>
  <c r="AC197" i="68"/>
  <c r="Q197" i="68"/>
  <c r="N197" i="68"/>
  <c r="O197" i="68" s="1"/>
  <c r="I197" i="68"/>
  <c r="AE197" i="68" s="1"/>
  <c r="L204" i="68"/>
  <c r="AG196" i="68"/>
  <c r="AF196" i="68"/>
  <c r="AD196" i="68"/>
  <c r="AC196" i="68"/>
  <c r="Q196" i="68"/>
  <c r="N196" i="68"/>
  <c r="O196" i="68" s="1"/>
  <c r="I196" i="68"/>
  <c r="AE196" i="68" s="1"/>
  <c r="L69" i="68"/>
  <c r="L60" i="68"/>
  <c r="L37" i="68"/>
  <c r="AG32" i="68"/>
  <c r="AF32" i="68"/>
  <c r="AD32" i="68"/>
  <c r="AC32" i="68"/>
  <c r="Q32" i="68"/>
  <c r="O32" i="68"/>
  <c r="N32" i="68"/>
  <c r="I32" i="68"/>
  <c r="AE32" i="68" s="1"/>
  <c r="J49" i="30"/>
  <c r="J48" i="30"/>
  <c r="J47" i="30"/>
  <c r="J46" i="30"/>
  <c r="J45" i="30"/>
  <c r="J44" i="30"/>
  <c r="J43" i="30"/>
  <c r="J42" i="30"/>
  <c r="J41" i="30"/>
  <c r="J40" i="30"/>
  <c r="J39" i="30"/>
  <c r="J38" i="30"/>
  <c r="A49" i="30"/>
  <c r="A48" i="30"/>
  <c r="A47" i="30"/>
  <c r="A46" i="30"/>
  <c r="A45" i="30"/>
  <c r="A44" i="30"/>
  <c r="A43" i="30"/>
  <c r="A42" i="30"/>
  <c r="A41" i="30"/>
  <c r="A40" i="30"/>
  <c r="A39" i="30"/>
  <c r="A38" i="30"/>
  <c r="J26" i="30"/>
  <c r="J25" i="30"/>
  <c r="J24" i="30"/>
  <c r="J23" i="30"/>
  <c r="J22" i="30"/>
  <c r="J21" i="30"/>
  <c r="J20" i="30"/>
  <c r="J19" i="30"/>
  <c r="J18" i="30"/>
  <c r="J17" i="30"/>
  <c r="J16" i="30"/>
  <c r="J15" i="30"/>
  <c r="A26" i="30"/>
  <c r="A25" i="30"/>
  <c r="A24" i="30"/>
  <c r="A23" i="30"/>
  <c r="A22" i="30"/>
  <c r="A21" i="30"/>
  <c r="A20" i="30"/>
  <c r="A19" i="30"/>
  <c r="A18" i="30"/>
  <c r="A17" i="30"/>
  <c r="A16" i="30"/>
  <c r="A15" i="30"/>
  <c r="S29" i="30"/>
  <c r="V7" i="37"/>
  <c r="S7" i="37"/>
  <c r="N7" i="37"/>
  <c r="K7" i="37"/>
  <c r="F7" i="37"/>
  <c r="P45" i="39"/>
  <c r="L45" i="39"/>
  <c r="P44" i="39"/>
  <c r="L44" i="39"/>
  <c r="P43" i="39"/>
  <c r="L43" i="39"/>
  <c r="P42" i="39"/>
  <c r="L42" i="39"/>
  <c r="P41" i="39"/>
  <c r="L41" i="39"/>
  <c r="A60" i="39"/>
  <c r="A59" i="39"/>
  <c r="A58" i="39"/>
  <c r="A57" i="39"/>
  <c r="A56" i="39"/>
  <c r="A55" i="39"/>
  <c r="A54" i="39"/>
  <c r="A53" i="39"/>
  <c r="A52" i="39"/>
  <c r="A51" i="39"/>
  <c r="A50" i="39"/>
  <c r="A49" i="39"/>
  <c r="A48" i="39"/>
  <c r="A47" i="39"/>
  <c r="A46" i="39"/>
  <c r="A45" i="39"/>
  <c r="A44" i="39"/>
  <c r="A43" i="39"/>
  <c r="A42" i="39"/>
  <c r="A41" i="39"/>
  <c r="A40" i="39"/>
  <c r="A39" i="39"/>
  <c r="A38" i="39"/>
  <c r="A37" i="39"/>
  <c r="D35" i="43"/>
  <c r="D34" i="43"/>
  <c r="D33" i="43"/>
  <c r="D14" i="34"/>
  <c r="D15" i="34" s="1"/>
  <c r="D16" i="34" s="1"/>
  <c r="D17" i="34" s="1"/>
  <c r="D18" i="34" s="1"/>
  <c r="D19" i="34" s="1"/>
  <c r="D20" i="34" s="1"/>
  <c r="D21" i="34" s="1"/>
  <c r="E33" i="33"/>
  <c r="O92" i="31"/>
  <c r="O91" i="31"/>
  <c r="O90" i="31"/>
  <c r="O89" i="31"/>
  <c r="U6" i="31"/>
  <c r="L6" i="31"/>
  <c r="L99" i="31"/>
  <c r="U288" i="47"/>
  <c r="U287" i="47"/>
  <c r="U286" i="47"/>
  <c r="U285" i="47"/>
  <c r="U284" i="47"/>
  <c r="U283" i="47"/>
  <c r="U282" i="47"/>
  <c r="U281" i="47"/>
  <c r="U280" i="47"/>
  <c r="U279" i="47"/>
  <c r="U278" i="47"/>
  <c r="U277" i="47"/>
  <c r="U276" i="47"/>
  <c r="U275" i="47"/>
  <c r="U274" i="47"/>
  <c r="U273" i="47"/>
  <c r="U272" i="47"/>
  <c r="U271" i="47"/>
  <c r="U270" i="47"/>
  <c r="U269" i="47"/>
  <c r="U268" i="47"/>
  <c r="U267" i="47"/>
  <c r="U266" i="47"/>
  <c r="U265" i="47"/>
  <c r="U264" i="47"/>
  <c r="U263" i="47"/>
  <c r="U262" i="47"/>
  <c r="U261" i="47"/>
  <c r="U260" i="47"/>
  <c r="U259" i="47"/>
  <c r="U258" i="47"/>
  <c r="U257" i="47"/>
  <c r="U256" i="47"/>
  <c r="U255" i="47"/>
  <c r="U254" i="47"/>
  <c r="U253" i="47"/>
  <c r="U252" i="47"/>
  <c r="U251" i="47"/>
  <c r="U250" i="47"/>
  <c r="U249" i="47"/>
  <c r="U248" i="47"/>
  <c r="U247" i="47"/>
  <c r="U246" i="47"/>
  <c r="U245" i="47"/>
  <c r="U244" i="47"/>
  <c r="U243" i="47"/>
  <c r="U242" i="47"/>
  <c r="U241" i="47"/>
  <c r="U240" i="47"/>
  <c r="U239" i="47"/>
  <c r="U238" i="47"/>
  <c r="U237" i="47"/>
  <c r="U236" i="47"/>
  <c r="U235" i="47"/>
  <c r="U234" i="47"/>
  <c r="U233" i="47"/>
  <c r="U232" i="47"/>
  <c r="U231" i="47"/>
  <c r="U230" i="47"/>
  <c r="U229" i="47"/>
  <c r="U228" i="47"/>
  <c r="U227" i="47"/>
  <c r="U226" i="47"/>
  <c r="U225" i="47"/>
  <c r="U224" i="47"/>
  <c r="U223" i="47"/>
  <c r="U222" i="47"/>
  <c r="U221" i="47"/>
  <c r="U220" i="47"/>
  <c r="U219" i="47"/>
  <c r="U218" i="47"/>
  <c r="U217" i="47"/>
  <c r="U216" i="47"/>
  <c r="U215" i="47"/>
  <c r="U214" i="47"/>
  <c r="U213" i="47"/>
  <c r="U212" i="47"/>
  <c r="U211" i="47"/>
  <c r="U210" i="47"/>
  <c r="U209" i="47"/>
  <c r="U208" i="47"/>
  <c r="U207" i="47"/>
  <c r="U206" i="47"/>
  <c r="U205" i="47"/>
  <c r="U204" i="47"/>
  <c r="U203" i="47"/>
  <c r="U202" i="47"/>
  <c r="U201" i="47"/>
  <c r="U200" i="47"/>
  <c r="U199" i="47"/>
  <c r="U198" i="47"/>
  <c r="U197" i="47"/>
  <c r="U196" i="47"/>
  <c r="U195" i="47"/>
  <c r="U194" i="47"/>
  <c r="U193" i="47"/>
  <c r="U192" i="47"/>
  <c r="U191" i="47"/>
  <c r="U190" i="47"/>
  <c r="U189" i="47"/>
  <c r="U188" i="47"/>
  <c r="U187" i="47"/>
  <c r="U186" i="47"/>
  <c r="U185" i="47"/>
  <c r="U184" i="47"/>
  <c r="U183" i="47"/>
  <c r="U182" i="47"/>
  <c r="U181" i="47"/>
  <c r="U180" i="47"/>
  <c r="U179" i="47"/>
  <c r="U178" i="47"/>
  <c r="U177" i="47"/>
  <c r="U176" i="47"/>
  <c r="U175" i="47"/>
  <c r="U174" i="47"/>
  <c r="U173" i="47"/>
  <c r="U172" i="47"/>
  <c r="U171" i="47"/>
  <c r="U170" i="47"/>
  <c r="U169" i="47"/>
  <c r="U168" i="47"/>
  <c r="U167" i="47"/>
  <c r="U166" i="47"/>
  <c r="U165" i="47"/>
  <c r="U164" i="47"/>
  <c r="U163" i="47"/>
  <c r="U162" i="47"/>
  <c r="U161" i="47"/>
  <c r="U160" i="47"/>
  <c r="U159" i="47"/>
  <c r="U158" i="47"/>
  <c r="U157" i="47"/>
  <c r="U156" i="47"/>
  <c r="U155" i="47"/>
  <c r="U154" i="47"/>
  <c r="U153" i="47"/>
  <c r="U152" i="47"/>
  <c r="U151" i="47"/>
  <c r="U150" i="47"/>
  <c r="U149" i="47"/>
  <c r="U148" i="47"/>
  <c r="U147" i="47"/>
  <c r="U146" i="47"/>
  <c r="U145" i="47"/>
  <c r="U144" i="47"/>
  <c r="U143" i="47"/>
  <c r="U142" i="47"/>
  <c r="U141" i="47"/>
  <c r="U140" i="47"/>
  <c r="U139" i="47"/>
  <c r="U138" i="47"/>
  <c r="U137" i="47"/>
  <c r="U136" i="47"/>
  <c r="U135" i="47"/>
  <c r="U134" i="47"/>
  <c r="U133" i="47"/>
  <c r="U132" i="47"/>
  <c r="U131" i="47"/>
  <c r="U130" i="47"/>
  <c r="U129" i="47"/>
  <c r="U128" i="47"/>
  <c r="U127" i="47"/>
  <c r="U126" i="47"/>
  <c r="U125" i="47"/>
  <c r="U124" i="47"/>
  <c r="U123" i="47"/>
  <c r="U122" i="47"/>
  <c r="U121" i="47"/>
  <c r="U120" i="47"/>
  <c r="U119" i="47"/>
  <c r="U118" i="47"/>
  <c r="U117" i="47"/>
  <c r="U116" i="47"/>
  <c r="U115" i="47"/>
  <c r="U114" i="47"/>
  <c r="U113" i="47"/>
  <c r="U112" i="47"/>
  <c r="U111" i="47"/>
  <c r="U110" i="47"/>
  <c r="U109" i="47"/>
  <c r="U108" i="47"/>
  <c r="U107" i="47"/>
  <c r="U106" i="47"/>
  <c r="U105" i="47"/>
  <c r="U104" i="47"/>
  <c r="U103" i="47"/>
  <c r="U102" i="47"/>
  <c r="U101" i="47"/>
  <c r="U100" i="47"/>
  <c r="U99" i="47"/>
  <c r="U98" i="47"/>
  <c r="U97" i="47"/>
  <c r="U96" i="47"/>
  <c r="U95" i="47"/>
  <c r="U94" i="47"/>
  <c r="U93" i="47"/>
  <c r="U92" i="47"/>
  <c r="U91" i="47"/>
  <c r="U90" i="47"/>
  <c r="U89" i="47"/>
  <c r="U88" i="47"/>
  <c r="U87" i="47"/>
  <c r="U86" i="47"/>
  <c r="U85" i="47"/>
  <c r="U84" i="47"/>
  <c r="U83" i="47"/>
  <c r="U82" i="47"/>
  <c r="U81" i="47"/>
  <c r="U80" i="47"/>
  <c r="U79" i="47"/>
  <c r="U78" i="47"/>
  <c r="U77" i="47"/>
  <c r="U76" i="47"/>
  <c r="U75" i="47"/>
  <c r="U74" i="47"/>
  <c r="U73" i="47"/>
  <c r="U72" i="47"/>
  <c r="U71" i="47"/>
  <c r="U70" i="47"/>
  <c r="U69" i="47"/>
  <c r="U68" i="47"/>
  <c r="U67" i="47"/>
  <c r="U66" i="47"/>
  <c r="U65" i="47"/>
  <c r="U64" i="47"/>
  <c r="U63" i="47"/>
  <c r="U62" i="47"/>
  <c r="U61" i="47"/>
  <c r="U60" i="47"/>
  <c r="U59" i="47"/>
  <c r="U58" i="47"/>
  <c r="U57" i="47"/>
  <c r="U56" i="47"/>
  <c r="U55" i="47"/>
  <c r="U54" i="47"/>
  <c r="U53" i="47"/>
  <c r="U52" i="47"/>
  <c r="U51" i="47"/>
  <c r="U50" i="47"/>
  <c r="U49" i="47"/>
  <c r="U48" i="47"/>
  <c r="U47" i="47"/>
  <c r="U46" i="47"/>
  <c r="U45" i="47"/>
  <c r="U44" i="47"/>
  <c r="U43" i="47"/>
  <c r="U42" i="47"/>
  <c r="U41" i="47"/>
  <c r="U40" i="47"/>
  <c r="U39" i="47"/>
  <c r="U38" i="47"/>
  <c r="U37" i="47"/>
  <c r="U36" i="47"/>
  <c r="U35" i="47"/>
  <c r="U34" i="47"/>
  <c r="U33" i="47"/>
  <c r="U32" i="47"/>
  <c r="U31" i="47"/>
  <c r="U30" i="47"/>
  <c r="U29" i="47"/>
  <c r="U28" i="47"/>
  <c r="U27" i="47"/>
  <c r="U26" i="47"/>
  <c r="U25" i="47"/>
  <c r="U24" i="47"/>
  <c r="U23" i="47"/>
  <c r="U22" i="47"/>
  <c r="U21" i="47"/>
  <c r="U20" i="47"/>
  <c r="U19" i="47"/>
  <c r="U18" i="47"/>
  <c r="U17" i="47"/>
  <c r="U16" i="47"/>
  <c r="U15" i="47"/>
  <c r="U14" i="47"/>
  <c r="U13" i="47"/>
  <c r="U12" i="47"/>
  <c r="U11" i="47"/>
  <c r="U10" i="47"/>
  <c r="X6" i="31"/>
  <c r="O6" i="31"/>
  <c r="H62" i="32"/>
  <c r="G62" i="32"/>
  <c r="P30" i="32"/>
  <c r="P28" i="32"/>
  <c r="G60" i="32"/>
  <c r="F60" i="32"/>
  <c r="H60" i="32" s="1"/>
  <c r="C60" i="32"/>
  <c r="A60" i="32"/>
  <c r="G52" i="32"/>
  <c r="F52" i="32"/>
  <c r="H52" i="32" s="1"/>
  <c r="P22" i="32" s="1"/>
  <c r="C52" i="32"/>
  <c r="A52" i="32"/>
  <c r="G44" i="32"/>
  <c r="C44" i="32"/>
  <c r="A44" i="32"/>
  <c r="N44" i="32"/>
  <c r="N41" i="32"/>
  <c r="M28" i="32"/>
  <c r="N30" i="32"/>
  <c r="M30" i="32"/>
  <c r="N22" i="32"/>
  <c r="M22" i="32"/>
  <c r="N14" i="32"/>
  <c r="M14" i="32"/>
  <c r="F44" i="32" s="1"/>
  <c r="H44" i="32" s="1"/>
  <c r="P14" i="32" s="1"/>
  <c r="Q14" i="32" s="1"/>
  <c r="M27" i="32"/>
  <c r="N27" i="32"/>
  <c r="K39" i="38"/>
  <c r="J39" i="38"/>
  <c r="G39" i="38"/>
  <c r="D39" i="38"/>
  <c r="K38" i="38"/>
  <c r="J38" i="38"/>
  <c r="G38" i="38"/>
  <c r="D38" i="38"/>
  <c r="K37" i="38"/>
  <c r="J37" i="38"/>
  <c r="G37" i="38"/>
  <c r="D37" i="38"/>
  <c r="K36" i="38"/>
  <c r="J36" i="38"/>
  <c r="G36" i="38"/>
  <c r="D36" i="38"/>
  <c r="K35" i="38"/>
  <c r="J35" i="38"/>
  <c r="G35" i="38"/>
  <c r="D35" i="38"/>
  <c r="K34" i="38"/>
  <c r="J34" i="38"/>
  <c r="G34" i="38"/>
  <c r="D34" i="38"/>
  <c r="V314" i="68" l="1"/>
  <c r="W314" i="68" s="1"/>
  <c r="Y314" i="68" s="1"/>
  <c r="P314" i="68"/>
  <c r="T314" i="68" s="1"/>
  <c r="I28" i="80"/>
  <c r="I28" i="79"/>
  <c r="I28" i="78"/>
  <c r="I28" i="73"/>
  <c r="R314" i="68"/>
  <c r="V200" i="68"/>
  <c r="W200" i="68" s="1"/>
  <c r="Y200" i="68" s="1"/>
  <c r="P323" i="68"/>
  <c r="T323" i="68" s="1"/>
  <c r="V199" i="68"/>
  <c r="W199" i="68" s="1"/>
  <c r="Y199" i="68" s="1"/>
  <c r="R323" i="68"/>
  <c r="V323" i="68"/>
  <c r="W323" i="68" s="1"/>
  <c r="Y323" i="68" s="1"/>
  <c r="Z314" i="68"/>
  <c r="V267" i="68"/>
  <c r="W267" i="68" s="1"/>
  <c r="Y267" i="68" s="1"/>
  <c r="Z267" i="68" s="1"/>
  <c r="AB267" i="68" s="1"/>
  <c r="V196" i="68"/>
  <c r="W196" i="68" s="1"/>
  <c r="Y196" i="68" s="1"/>
  <c r="R267" i="68"/>
  <c r="V265" i="68"/>
  <c r="W265" i="68" s="1"/>
  <c r="Y265" i="68" s="1"/>
  <c r="V266" i="68"/>
  <c r="W266" i="68" s="1"/>
  <c r="Y266" i="68" s="1"/>
  <c r="P265" i="68"/>
  <c r="T265" i="68" s="1"/>
  <c r="P266" i="68"/>
  <c r="T266" i="68" s="1"/>
  <c r="P200" i="68"/>
  <c r="T200" i="68" s="1"/>
  <c r="P199" i="68"/>
  <c r="T199" i="68" s="1"/>
  <c r="P196" i="68"/>
  <c r="T196" i="68" s="1"/>
  <c r="Z196" i="68" s="1"/>
  <c r="P197" i="68"/>
  <c r="T197" i="68" s="1"/>
  <c r="V197" i="68"/>
  <c r="W197" i="68" s="1"/>
  <c r="Y197" i="68" s="1"/>
  <c r="V198" i="68"/>
  <c r="W198" i="68" s="1"/>
  <c r="Y198" i="68" s="1"/>
  <c r="P198" i="68"/>
  <c r="T198" i="68" s="1"/>
  <c r="P32" i="68"/>
  <c r="R32" i="68" s="1"/>
  <c r="V32" i="68"/>
  <c r="W32" i="68" s="1"/>
  <c r="Y32" i="68" s="1"/>
  <c r="Q60" i="46"/>
  <c r="Q59" i="46"/>
  <c r="Q58" i="46"/>
  <c r="Z200" i="68" l="1"/>
  <c r="Z197" i="68"/>
  <c r="AB197" i="68" s="1"/>
  <c r="Z199" i="68"/>
  <c r="Z323" i="68"/>
  <c r="AA323" i="68"/>
  <c r="AB314" i="68"/>
  <c r="AA314" i="68"/>
  <c r="Z265" i="68"/>
  <c r="AB265" i="68" s="1"/>
  <c r="R197" i="68"/>
  <c r="AA267" i="68"/>
  <c r="R266" i="68"/>
  <c r="Z266" i="68"/>
  <c r="R265" i="68"/>
  <c r="R200" i="68"/>
  <c r="R199" i="68"/>
  <c r="R198" i="68"/>
  <c r="AB200" i="68"/>
  <c r="AA200" i="68"/>
  <c r="T32" i="68"/>
  <c r="Z32" i="68" s="1"/>
  <c r="R196" i="68"/>
  <c r="AA197" i="68"/>
  <c r="AB199" i="68"/>
  <c r="AA199" i="68"/>
  <c r="Z198" i="68"/>
  <c r="AB196" i="68"/>
  <c r="AA196" i="68"/>
  <c r="AA265" i="68" l="1"/>
  <c r="AB266" i="68"/>
  <c r="AA266" i="68"/>
  <c r="AB32" i="68"/>
  <c r="AA32" i="68"/>
  <c r="AB198" i="68"/>
  <c r="AA198" i="68"/>
  <c r="E73" i="44" l="1"/>
  <c r="D73" i="44"/>
  <c r="C73" i="44"/>
  <c r="E69" i="44"/>
  <c r="D69" i="44"/>
  <c r="C69" i="44"/>
  <c r="E67" i="44"/>
  <c r="D67" i="44"/>
  <c r="C67" i="44"/>
  <c r="E55" i="44"/>
  <c r="D55" i="44"/>
  <c r="C55" i="44"/>
  <c r="E51" i="44"/>
  <c r="D51" i="44"/>
  <c r="C51" i="44"/>
  <c r="E49" i="44"/>
  <c r="D49" i="44"/>
  <c r="C49" i="44"/>
  <c r="E41" i="44"/>
  <c r="E59" i="44" s="1"/>
  <c r="D41" i="44"/>
  <c r="D59" i="44" s="1"/>
  <c r="C41" i="44"/>
  <c r="C59" i="44" s="1"/>
  <c r="E38" i="44"/>
  <c r="D38" i="44"/>
  <c r="C38" i="44"/>
  <c r="E34" i="44"/>
  <c r="D34" i="44"/>
  <c r="C34" i="44"/>
  <c r="E32" i="44"/>
  <c r="D32" i="44"/>
  <c r="C32" i="44"/>
  <c r="E24" i="44"/>
  <c r="D24" i="44"/>
  <c r="C24" i="44"/>
  <c r="E21" i="44"/>
  <c r="D21" i="44"/>
  <c r="C21" i="44"/>
  <c r="E17" i="44"/>
  <c r="D17" i="44"/>
  <c r="C17" i="44"/>
  <c r="E15" i="44"/>
  <c r="D15" i="44"/>
  <c r="C15" i="44"/>
  <c r="F15" i="44"/>
  <c r="G15" i="44"/>
  <c r="H15" i="44"/>
  <c r="I15" i="44"/>
  <c r="J15" i="44"/>
  <c r="K15" i="44"/>
  <c r="L15" i="44"/>
  <c r="M15" i="44"/>
  <c r="N15" i="44"/>
  <c r="F17" i="44"/>
  <c r="G17" i="44"/>
  <c r="H17" i="44"/>
  <c r="I17" i="44"/>
  <c r="J17" i="44"/>
  <c r="K17" i="44"/>
  <c r="L17" i="44"/>
  <c r="M17" i="44"/>
  <c r="N17" i="44"/>
  <c r="F21" i="44"/>
  <c r="G21" i="44"/>
  <c r="H21" i="44"/>
  <c r="I21" i="44"/>
  <c r="J21" i="44"/>
  <c r="K21" i="44"/>
  <c r="L21" i="44"/>
  <c r="M21" i="44"/>
  <c r="N21" i="44"/>
  <c r="F24" i="44"/>
  <c r="G24" i="44"/>
  <c r="G41" i="44" s="1"/>
  <c r="G59" i="44" s="1"/>
  <c r="H24" i="44"/>
  <c r="H41" i="44" s="1"/>
  <c r="H59" i="44" s="1"/>
  <c r="I24" i="44"/>
  <c r="I41" i="44" s="1"/>
  <c r="I59" i="44" s="1"/>
  <c r="J24" i="44"/>
  <c r="J41" i="44" s="1"/>
  <c r="J59" i="44" s="1"/>
  <c r="K24" i="44"/>
  <c r="L24" i="44"/>
  <c r="M24" i="44"/>
  <c r="N24" i="44"/>
  <c r="F32" i="44"/>
  <c r="G32" i="44"/>
  <c r="H32" i="44"/>
  <c r="I32" i="44"/>
  <c r="J32" i="44"/>
  <c r="K32" i="44"/>
  <c r="L32" i="44"/>
  <c r="M32" i="44"/>
  <c r="N32" i="44"/>
  <c r="F34" i="44"/>
  <c r="G34" i="44"/>
  <c r="H34" i="44"/>
  <c r="I34" i="44"/>
  <c r="J34" i="44"/>
  <c r="K34" i="44"/>
  <c r="L34" i="44"/>
  <c r="M34" i="44"/>
  <c r="N34" i="44"/>
  <c r="F38" i="44"/>
  <c r="G38" i="44"/>
  <c r="H38" i="44"/>
  <c r="I38" i="44"/>
  <c r="J38" i="44"/>
  <c r="K38" i="44"/>
  <c r="L38" i="44"/>
  <c r="M38" i="44"/>
  <c r="N38" i="44"/>
  <c r="F41" i="44"/>
  <c r="F59" i="44" s="1"/>
  <c r="K41" i="44"/>
  <c r="K59" i="44" s="1"/>
  <c r="L41" i="44"/>
  <c r="L59" i="44" s="1"/>
  <c r="M41" i="44"/>
  <c r="M59" i="44" s="1"/>
  <c r="N41" i="44"/>
  <c r="N59" i="44" s="1"/>
  <c r="F49" i="44"/>
  <c r="G49" i="44"/>
  <c r="H49" i="44"/>
  <c r="I49" i="44"/>
  <c r="J49" i="44"/>
  <c r="K49" i="44"/>
  <c r="L49" i="44"/>
  <c r="M49" i="44"/>
  <c r="N49" i="44"/>
  <c r="F51" i="44"/>
  <c r="G51" i="44"/>
  <c r="H51" i="44"/>
  <c r="I51" i="44"/>
  <c r="J51" i="44"/>
  <c r="K51" i="44"/>
  <c r="L51" i="44"/>
  <c r="M51" i="44"/>
  <c r="N51" i="44"/>
  <c r="F55" i="44"/>
  <c r="G55" i="44"/>
  <c r="H55" i="44"/>
  <c r="I55" i="44"/>
  <c r="J55" i="44"/>
  <c r="K55" i="44"/>
  <c r="L55" i="44"/>
  <c r="M55" i="44"/>
  <c r="N55" i="44"/>
  <c r="F67" i="44"/>
  <c r="G67" i="44"/>
  <c r="H67" i="44"/>
  <c r="I67" i="44"/>
  <c r="J67" i="44"/>
  <c r="K67" i="44"/>
  <c r="L67" i="44"/>
  <c r="M67" i="44"/>
  <c r="N67" i="44"/>
  <c r="F69" i="44"/>
  <c r="G69" i="44"/>
  <c r="H69" i="44"/>
  <c r="I69" i="44"/>
  <c r="J69" i="44"/>
  <c r="K69" i="44"/>
  <c r="L69" i="44"/>
  <c r="M69" i="44"/>
  <c r="N69" i="44"/>
  <c r="F73" i="44"/>
  <c r="G73" i="44"/>
  <c r="H73" i="44"/>
  <c r="I73" i="44"/>
  <c r="J73" i="44"/>
  <c r="K73" i="44"/>
  <c r="L73" i="44"/>
  <c r="M73" i="44"/>
  <c r="N73" i="44"/>
  <c r="E114" i="4"/>
  <c r="D114" i="4"/>
  <c r="C114" i="4"/>
  <c r="E101" i="4"/>
  <c r="D101" i="4"/>
  <c r="D103" i="4" s="1"/>
  <c r="D116" i="4" s="1"/>
  <c r="D118" i="4" s="1"/>
  <c r="C101" i="4"/>
  <c r="C103" i="4" s="1"/>
  <c r="C116" i="4" s="1"/>
  <c r="C118" i="4" s="1"/>
  <c r="E20" i="4"/>
  <c r="E103" i="4" s="1"/>
  <c r="E116" i="4" s="1"/>
  <c r="E118" i="4" s="1"/>
  <c r="D20" i="4"/>
  <c r="C20" i="4"/>
  <c r="F20" i="4"/>
  <c r="G20" i="4"/>
  <c r="H20" i="4"/>
  <c r="I20" i="4"/>
  <c r="J20" i="4"/>
  <c r="K20" i="4"/>
  <c r="L20" i="4"/>
  <c r="M20" i="4"/>
  <c r="N20" i="4"/>
  <c r="F101" i="4"/>
  <c r="G101" i="4"/>
  <c r="H101" i="4"/>
  <c r="I101" i="4"/>
  <c r="J101" i="4"/>
  <c r="K101" i="4"/>
  <c r="L101" i="4"/>
  <c r="M101" i="4"/>
  <c r="N101" i="4"/>
  <c r="F114" i="4"/>
  <c r="G114" i="4"/>
  <c r="H114" i="4"/>
  <c r="I114" i="4"/>
  <c r="J114" i="4"/>
  <c r="K114" i="4"/>
  <c r="L114" i="4"/>
  <c r="M114" i="4"/>
  <c r="N114" i="4"/>
  <c r="N103" i="4" l="1"/>
  <c r="N116" i="4" s="1"/>
  <c r="N118" i="4" s="1"/>
  <c r="M103" i="4"/>
  <c r="M116" i="4" s="1"/>
  <c r="M118" i="4" s="1"/>
  <c r="L103" i="4"/>
  <c r="L116" i="4" s="1"/>
  <c r="L118" i="4" s="1"/>
  <c r="K103" i="4"/>
  <c r="K116" i="4" s="1"/>
  <c r="K118" i="4" s="1"/>
  <c r="J103" i="4"/>
  <c r="J116" i="4" s="1"/>
  <c r="J118" i="4" s="1"/>
  <c r="I103" i="4"/>
  <c r="I116" i="4" s="1"/>
  <c r="I118" i="4" s="1"/>
  <c r="H103" i="4"/>
  <c r="H116" i="4" s="1"/>
  <c r="H118" i="4" s="1"/>
  <c r="G103" i="4"/>
  <c r="G116" i="4" s="1"/>
  <c r="G118" i="4" s="1"/>
  <c r="F103" i="4"/>
  <c r="F116" i="4" s="1"/>
  <c r="F118" i="4" s="1"/>
  <c r="L317" i="68" l="1"/>
  <c r="F213" i="7"/>
  <c r="D36" i="16" l="1"/>
  <c r="L36" i="16" s="1"/>
  <c r="D33" i="16"/>
  <c r="L33" i="16" s="1"/>
  <c r="A3" i="15"/>
  <c r="L36" i="15"/>
  <c r="D33" i="15"/>
  <c r="L33" i="15" s="1"/>
  <c r="O38" i="14"/>
  <c r="O35" i="14"/>
  <c r="D38" i="14"/>
  <c r="L38" i="14" s="1"/>
  <c r="D35" i="14"/>
  <c r="L35" i="14" s="1"/>
  <c r="I101" i="31" l="1"/>
  <c r="I19" i="10" l="1"/>
  <c r="D47" i="43" l="1"/>
  <c r="D46" i="43"/>
  <c r="D45" i="43"/>
  <c r="D44" i="43"/>
  <c r="D43" i="43"/>
  <c r="W48" i="47" l="1"/>
  <c r="W47" i="47"/>
  <c r="W46" i="47"/>
  <c r="W45" i="47"/>
  <c r="W44" i="47"/>
  <c r="W43" i="47"/>
  <c r="W42" i="47"/>
  <c r="W39" i="47" s="1"/>
  <c r="W41" i="47"/>
  <c r="W38" i="47" s="1"/>
  <c r="W40" i="47"/>
  <c r="W37" i="47"/>
  <c r="W39" i="37"/>
  <c r="T39" i="37"/>
  <c r="O39" i="37"/>
  <c r="L39" i="37"/>
  <c r="G39" i="37"/>
  <c r="D39" i="37"/>
  <c r="W36" i="37"/>
  <c r="T36" i="37"/>
  <c r="O36" i="37"/>
  <c r="L36" i="37"/>
  <c r="G36" i="37"/>
  <c r="D36" i="37"/>
  <c r="AA267" i="47"/>
  <c r="AD267" i="47" s="1"/>
  <c r="X38" i="31" s="1"/>
  <c r="Z38" i="31" s="1"/>
  <c r="O267" i="47"/>
  <c r="AA266" i="47"/>
  <c r="AD266" i="47" s="1"/>
  <c r="O38" i="31" s="1"/>
  <c r="Q38" i="31" s="1"/>
  <c r="O266" i="47"/>
  <c r="AA265" i="47"/>
  <c r="AD265" i="47" s="1"/>
  <c r="F38" i="31" s="1"/>
  <c r="H38" i="31" s="1"/>
  <c r="O265" i="47"/>
  <c r="R265" i="47" s="1"/>
  <c r="AA261" i="47"/>
  <c r="O261" i="47"/>
  <c r="R261" i="47" s="1"/>
  <c r="AA260" i="47"/>
  <c r="O260" i="47"/>
  <c r="R260" i="47" s="1"/>
  <c r="AA259" i="47"/>
  <c r="O259" i="47"/>
  <c r="R259" i="47" s="1"/>
  <c r="A29" i="40" l="1"/>
  <c r="M25" i="32"/>
  <c r="F55" i="32" s="1"/>
  <c r="F54" i="32"/>
  <c r="C58" i="32"/>
  <c r="A58" i="32"/>
  <c r="C61" i="32"/>
  <c r="N28" i="32"/>
  <c r="G58" i="32" s="1"/>
  <c r="F58" i="32"/>
  <c r="H58" i="32" l="1"/>
  <c r="K76" i="3"/>
  <c r="H76" i="3"/>
  <c r="E76" i="3"/>
  <c r="O76" i="3" l="1"/>
  <c r="P76" i="3" s="1"/>
  <c r="O74" i="4"/>
  <c r="D181" i="7" l="1"/>
  <c r="C75" i="2"/>
  <c r="F75" i="2" s="1"/>
  <c r="J75" i="2" s="1"/>
  <c r="C75" i="69"/>
  <c r="E75" i="69" s="1"/>
  <c r="I75" i="69" s="1"/>
  <c r="C76" i="3" s="1"/>
  <c r="AG348" i="68"/>
  <c r="AF348" i="68"/>
  <c r="AE348" i="68"/>
  <c r="AD348" i="68"/>
  <c r="AC348" i="68"/>
  <c r="Q348" i="68"/>
  <c r="N348" i="68"/>
  <c r="O348" i="68" s="1"/>
  <c r="I348" i="68"/>
  <c r="AG347" i="68"/>
  <c r="AF347" i="68"/>
  <c r="AE347" i="68"/>
  <c r="AD347" i="68"/>
  <c r="AC347" i="68"/>
  <c r="Q347" i="68"/>
  <c r="N347" i="68"/>
  <c r="O347" i="68" s="1"/>
  <c r="I347" i="68"/>
  <c r="AJ341" i="68"/>
  <c r="AJ340" i="68"/>
  <c r="AJ339" i="68"/>
  <c r="AJ338" i="68"/>
  <c r="AJ337" i="68"/>
  <c r="AJ332" i="68"/>
  <c r="AJ331" i="68"/>
  <c r="AJ330" i="68"/>
  <c r="AJ329" i="68"/>
  <c r="AJ305" i="68"/>
  <c r="AJ304" i="68"/>
  <c r="L326" i="68"/>
  <c r="P348" i="68" l="1"/>
  <c r="T348" i="68" s="1"/>
  <c r="V348" i="68"/>
  <c r="W348" i="68" s="1"/>
  <c r="Y348" i="68" s="1"/>
  <c r="Z348" i="68" s="1"/>
  <c r="AB348" i="68" s="1"/>
  <c r="R348" i="68"/>
  <c r="V347" i="68"/>
  <c r="W347" i="68" s="1"/>
  <c r="Y347" i="68" s="1"/>
  <c r="P347" i="68"/>
  <c r="T347" i="68" s="1"/>
  <c r="AG313" i="68"/>
  <c r="AF313" i="68"/>
  <c r="AD313" i="68"/>
  <c r="AC313" i="68"/>
  <c r="Q313" i="68"/>
  <c r="N313" i="68"/>
  <c r="O313" i="68" s="1"/>
  <c r="I313" i="68"/>
  <c r="AE313" i="68" s="1"/>
  <c r="L286" i="68"/>
  <c r="AG282" i="68"/>
  <c r="AF282" i="68"/>
  <c r="AE282" i="68"/>
  <c r="AD282" i="68"/>
  <c r="AC282" i="68"/>
  <c r="Q282" i="68"/>
  <c r="N282" i="68"/>
  <c r="O282" i="68" s="1"/>
  <c r="I282" i="68"/>
  <c r="AG264" i="68"/>
  <c r="AF264" i="68"/>
  <c r="AD264" i="68"/>
  <c r="AC264" i="68"/>
  <c r="Q264" i="68"/>
  <c r="N264" i="68"/>
  <c r="O264" i="68" s="1"/>
  <c r="I264" i="68"/>
  <c r="AE264" i="68" s="1"/>
  <c r="AG228" i="68"/>
  <c r="AF228" i="68"/>
  <c r="AD228" i="68"/>
  <c r="AC228" i="68"/>
  <c r="Q228" i="68"/>
  <c r="N228" i="68"/>
  <c r="O228" i="68" s="1"/>
  <c r="I228" i="68"/>
  <c r="AE228" i="68" s="1"/>
  <c r="AG230" i="68"/>
  <c r="AF230" i="68"/>
  <c r="AD230" i="68"/>
  <c r="AC230" i="68"/>
  <c r="Q230" i="68"/>
  <c r="N230" i="68"/>
  <c r="O230" i="68" s="1"/>
  <c r="I230" i="68"/>
  <c r="AE230" i="68" s="1"/>
  <c r="AG229" i="68"/>
  <c r="AF229" i="68"/>
  <c r="AD229" i="68"/>
  <c r="AC229" i="68"/>
  <c r="Q229" i="68"/>
  <c r="N229" i="68"/>
  <c r="O229" i="68" s="1"/>
  <c r="I229" i="68"/>
  <c r="AE229" i="68" s="1"/>
  <c r="AG227" i="68"/>
  <c r="AF227" i="68"/>
  <c r="AD227" i="68"/>
  <c r="AC227" i="68"/>
  <c r="Q227" i="68"/>
  <c r="N227" i="68"/>
  <c r="O227" i="68" s="1"/>
  <c r="I227" i="68"/>
  <c r="AE227" i="68" s="1"/>
  <c r="AG226" i="68"/>
  <c r="AF226" i="68"/>
  <c r="AD226" i="68"/>
  <c r="AC226" i="68"/>
  <c r="Q226" i="68"/>
  <c r="N226" i="68"/>
  <c r="O226" i="68" s="1"/>
  <c r="I226" i="68"/>
  <c r="AE226" i="68" s="1"/>
  <c r="AG195" i="68"/>
  <c r="AF195" i="68"/>
  <c r="AD195" i="68"/>
  <c r="AC195" i="68"/>
  <c r="Q195" i="68"/>
  <c r="N195" i="68"/>
  <c r="O195" i="68" s="1"/>
  <c r="I195" i="68"/>
  <c r="AE195" i="68" s="1"/>
  <c r="AG194" i="68"/>
  <c r="AF194" i="68"/>
  <c r="AD194" i="68"/>
  <c r="AC194" i="68"/>
  <c r="Q194" i="68"/>
  <c r="N194" i="68"/>
  <c r="O194" i="68" s="1"/>
  <c r="I194" i="68"/>
  <c r="AE194" i="68" s="1"/>
  <c r="AG193" i="68"/>
  <c r="AF193" i="68"/>
  <c r="AD193" i="68"/>
  <c r="AC193" i="68"/>
  <c r="Q193" i="68"/>
  <c r="N193" i="68"/>
  <c r="O193" i="68" s="1"/>
  <c r="I193" i="68"/>
  <c r="AE193" i="68" s="1"/>
  <c r="AG192" i="68"/>
  <c r="AF192" i="68"/>
  <c r="AD192" i="68"/>
  <c r="AC192" i="68"/>
  <c r="Q192" i="68"/>
  <c r="N192" i="68"/>
  <c r="O192" i="68" s="1"/>
  <c r="I192" i="68"/>
  <c r="AE192" i="68" s="1"/>
  <c r="AG191" i="68"/>
  <c r="AF191" i="68"/>
  <c r="AD191" i="68"/>
  <c r="AC191" i="68"/>
  <c r="Q191" i="68"/>
  <c r="N191" i="68"/>
  <c r="O191" i="68" s="1"/>
  <c r="I191" i="68"/>
  <c r="AE191" i="68" s="1"/>
  <c r="AG190" i="68"/>
  <c r="AF190" i="68"/>
  <c r="AD190" i="68"/>
  <c r="AC190" i="68"/>
  <c r="Q190" i="68"/>
  <c r="N190" i="68"/>
  <c r="O190" i="68" s="1"/>
  <c r="I190" i="68"/>
  <c r="AE190" i="68" s="1"/>
  <c r="AG66" i="68"/>
  <c r="AF66" i="68"/>
  <c r="AE66" i="68"/>
  <c r="AD66" i="68"/>
  <c r="AC66" i="68"/>
  <c r="Q66" i="68"/>
  <c r="N66" i="68"/>
  <c r="O66" i="68" s="1"/>
  <c r="I66" i="68"/>
  <c r="AG65" i="68"/>
  <c r="AF65" i="68"/>
  <c r="AE65" i="68"/>
  <c r="AD65" i="68"/>
  <c r="AC65" i="68"/>
  <c r="Q65" i="68"/>
  <c r="O65" i="68"/>
  <c r="N65" i="68"/>
  <c r="I65" i="68"/>
  <c r="AG56" i="68"/>
  <c r="AF56" i="68"/>
  <c r="AD56" i="68"/>
  <c r="AC56" i="68"/>
  <c r="Q56" i="68"/>
  <c r="N56" i="68"/>
  <c r="O56" i="68" s="1"/>
  <c r="I56" i="68"/>
  <c r="AE56" i="68" s="1"/>
  <c r="AG55" i="68"/>
  <c r="AF55" i="68"/>
  <c r="AD55" i="68"/>
  <c r="AC55" i="68"/>
  <c r="Q55" i="68"/>
  <c r="N55" i="68"/>
  <c r="O55" i="68" s="1"/>
  <c r="I55" i="68"/>
  <c r="AE55" i="68" s="1"/>
  <c r="L36" i="68"/>
  <c r="P66" i="68" l="1"/>
  <c r="T66" i="68" s="1"/>
  <c r="P282" i="68"/>
  <c r="T282" i="68" s="1"/>
  <c r="V65" i="68"/>
  <c r="W65" i="68" s="1"/>
  <c r="Y65" i="68" s="1"/>
  <c r="V66" i="68"/>
  <c r="W66" i="68" s="1"/>
  <c r="Y66" i="68" s="1"/>
  <c r="Z66" i="68" s="1"/>
  <c r="P65" i="68"/>
  <c r="T65" i="68" s="1"/>
  <c r="V282" i="68"/>
  <c r="W282" i="68" s="1"/>
  <c r="Y282" i="68" s="1"/>
  <c r="Z282" i="68" s="1"/>
  <c r="AB282" i="68" s="1"/>
  <c r="AA348" i="68"/>
  <c r="R347" i="68"/>
  <c r="Z347" i="68"/>
  <c r="AB347" i="68" s="1"/>
  <c r="P313" i="68"/>
  <c r="T313" i="68" s="1"/>
  <c r="V313" i="68"/>
  <c r="W313" i="68" s="1"/>
  <c r="Y313" i="68" s="1"/>
  <c r="P264" i="68"/>
  <c r="T264" i="68" s="1"/>
  <c r="V264" i="68"/>
  <c r="W264" i="68" s="1"/>
  <c r="Y264" i="68" s="1"/>
  <c r="P194" i="68"/>
  <c r="T194" i="68" s="1"/>
  <c r="V195" i="68"/>
  <c r="W195" i="68" s="1"/>
  <c r="Y195" i="68" s="1"/>
  <c r="P228" i="68"/>
  <c r="T228" i="68" s="1"/>
  <c r="V228" i="68"/>
  <c r="W228" i="68" s="1"/>
  <c r="Y228" i="68" s="1"/>
  <c r="P230" i="68"/>
  <c r="R230" i="68" s="1"/>
  <c r="V226" i="68"/>
  <c r="W226" i="68" s="1"/>
  <c r="Y226" i="68" s="1"/>
  <c r="P226" i="68"/>
  <c r="T226" i="68" s="1"/>
  <c r="V230" i="68"/>
  <c r="W230" i="68" s="1"/>
  <c r="Y230" i="68" s="1"/>
  <c r="V227" i="68"/>
  <c r="W227" i="68" s="1"/>
  <c r="Y227" i="68" s="1"/>
  <c r="V229" i="68"/>
  <c r="W229" i="68" s="1"/>
  <c r="Y229" i="68" s="1"/>
  <c r="P227" i="68"/>
  <c r="P229" i="68"/>
  <c r="T229" i="68" s="1"/>
  <c r="P190" i="68"/>
  <c r="T190" i="68" s="1"/>
  <c r="P195" i="68"/>
  <c r="V190" i="68"/>
  <c r="W190" i="68" s="1"/>
  <c r="Y190" i="68" s="1"/>
  <c r="V194" i="68"/>
  <c r="W194" i="68" s="1"/>
  <c r="Y194" i="68" s="1"/>
  <c r="V192" i="68"/>
  <c r="W192" i="68" s="1"/>
  <c r="Y192" i="68" s="1"/>
  <c r="V191" i="68"/>
  <c r="W191" i="68" s="1"/>
  <c r="Y191" i="68" s="1"/>
  <c r="P191" i="68"/>
  <c r="V193" i="68"/>
  <c r="W193" i="68" s="1"/>
  <c r="Y193" i="68" s="1"/>
  <c r="P192" i="68"/>
  <c r="P193" i="68"/>
  <c r="T193" i="68" s="1"/>
  <c r="P55" i="68"/>
  <c r="T55" i="68" s="1"/>
  <c r="V56" i="68"/>
  <c r="W56" i="68" s="1"/>
  <c r="Y56" i="68" s="1"/>
  <c r="P56" i="68"/>
  <c r="T56" i="68" s="1"/>
  <c r="V55" i="68"/>
  <c r="W55" i="68" s="1"/>
  <c r="Y55" i="68" s="1"/>
  <c r="AT19" i="68"/>
  <c r="AQ19" i="68"/>
  <c r="I25" i="10" s="1"/>
  <c r="AG33" i="68"/>
  <c r="AF33" i="68"/>
  <c r="AD33" i="68"/>
  <c r="AC33" i="68"/>
  <c r="Q33" i="68"/>
  <c r="N33" i="68"/>
  <c r="O33" i="68" s="1"/>
  <c r="I33" i="68"/>
  <c r="AE33" i="68" s="1"/>
  <c r="R282" i="68" l="1"/>
  <c r="R66" i="68"/>
  <c r="Z65" i="68"/>
  <c r="AB65" i="68" s="1"/>
  <c r="AR19" i="68"/>
  <c r="R65" i="68"/>
  <c r="AA282" i="68"/>
  <c r="AA347" i="68"/>
  <c r="AA65" i="68"/>
  <c r="R313" i="68"/>
  <c r="Z264" i="68"/>
  <c r="AB264" i="68" s="1"/>
  <c r="R264" i="68"/>
  <c r="Z313" i="68"/>
  <c r="AB313" i="68" s="1"/>
  <c r="Z190" i="68"/>
  <c r="AB190" i="68" s="1"/>
  <c r="R194" i="68"/>
  <c r="R228" i="68"/>
  <c r="R190" i="68"/>
  <c r="Z228" i="68"/>
  <c r="AB228" i="68" s="1"/>
  <c r="T230" i="68"/>
  <c r="Z230" i="68" s="1"/>
  <c r="AB230" i="68" s="1"/>
  <c r="R226" i="68"/>
  <c r="Z229" i="68"/>
  <c r="R229" i="68"/>
  <c r="R227" i="68"/>
  <c r="T227" i="68"/>
  <c r="Z227" i="68" s="1"/>
  <c r="Z226" i="68"/>
  <c r="AB226" i="68" s="1"/>
  <c r="Z194" i="68"/>
  <c r="AB194" i="68" s="1"/>
  <c r="T195" i="68"/>
  <c r="Z195" i="68" s="1"/>
  <c r="R195" i="68"/>
  <c r="R55" i="68"/>
  <c r="R193" i="68"/>
  <c r="Z193" i="68"/>
  <c r="R192" i="68"/>
  <c r="T192" i="68"/>
  <c r="Z192" i="68" s="1"/>
  <c r="T191" i="68"/>
  <c r="Z191" i="68" s="1"/>
  <c r="AB191" i="68" s="1"/>
  <c r="R191" i="68"/>
  <c r="AB66" i="68"/>
  <c r="AA66" i="68"/>
  <c r="Z55" i="68"/>
  <c r="AB55" i="68" s="1"/>
  <c r="R56" i="68"/>
  <c r="Z56" i="68"/>
  <c r="AB56" i="68" s="1"/>
  <c r="V33" i="68"/>
  <c r="W33" i="68" s="1"/>
  <c r="Y33" i="68" s="1"/>
  <c r="P33" i="68"/>
  <c r="T33" i="68" s="1"/>
  <c r="F215" i="7"/>
  <c r="AA264" i="68" l="1"/>
  <c r="AA313" i="68"/>
  <c r="AA55" i="68"/>
  <c r="AA190" i="68"/>
  <c r="AA194" i="68"/>
  <c r="AA230" i="68"/>
  <c r="AA228" i="68"/>
  <c r="AB227" i="68"/>
  <c r="AA227" i="68"/>
  <c r="AB229" i="68"/>
  <c r="AA229" i="68"/>
  <c r="AA226" i="68"/>
  <c r="AA191" i="68"/>
  <c r="AB195" i="68"/>
  <c r="AA195" i="68"/>
  <c r="AB192" i="68"/>
  <c r="AA192" i="68"/>
  <c r="AB193" i="68"/>
  <c r="AA193" i="68"/>
  <c r="Z33" i="68"/>
  <c r="AB33" i="68" s="1"/>
  <c r="AA56" i="68"/>
  <c r="R33" i="68"/>
  <c r="N137" i="7"/>
  <c r="L92" i="7"/>
  <c r="D92" i="7"/>
  <c r="N92" i="7" s="1"/>
  <c r="N91" i="7"/>
  <c r="N90" i="7"/>
  <c r="N89" i="7"/>
  <c r="N88" i="7"/>
  <c r="AA33" i="68" l="1"/>
  <c r="L59" i="68"/>
  <c r="AG14" i="68"/>
  <c r="AF14" i="68"/>
  <c r="AD14" i="68"/>
  <c r="AC14" i="68"/>
  <c r="Q14" i="68"/>
  <c r="N14" i="68"/>
  <c r="O14" i="68" s="1"/>
  <c r="I14" i="68"/>
  <c r="AE14" i="68" s="1"/>
  <c r="AG13" i="68"/>
  <c r="AF13" i="68"/>
  <c r="AD13" i="68"/>
  <c r="AC13" i="68"/>
  <c r="Q13" i="68"/>
  <c r="N13" i="68"/>
  <c r="O13" i="68" s="1"/>
  <c r="I13" i="68"/>
  <c r="AE13" i="68" s="1"/>
  <c r="AG43" i="68"/>
  <c r="AF43" i="68"/>
  <c r="AD43" i="68"/>
  <c r="AC43" i="68"/>
  <c r="Q43" i="68"/>
  <c r="N43" i="68"/>
  <c r="O43" i="68" s="1"/>
  <c r="I43" i="68"/>
  <c r="AE43" i="68" s="1"/>
  <c r="AG42" i="68"/>
  <c r="AF42" i="68"/>
  <c r="AD42" i="68"/>
  <c r="AC42" i="68"/>
  <c r="Q42" i="68"/>
  <c r="N42" i="68"/>
  <c r="O42" i="68" s="1"/>
  <c r="I42" i="68"/>
  <c r="AE42" i="68" s="1"/>
  <c r="AG41" i="68"/>
  <c r="AF41" i="68"/>
  <c r="AD41" i="68"/>
  <c r="AC41" i="68"/>
  <c r="Q41" i="68"/>
  <c r="N41" i="68"/>
  <c r="O41" i="68" s="1"/>
  <c r="I41" i="68"/>
  <c r="AE41" i="68" s="1"/>
  <c r="AG40" i="68"/>
  <c r="AF40" i="68"/>
  <c r="AD40" i="68"/>
  <c r="AC40" i="68"/>
  <c r="Q40" i="68"/>
  <c r="N40" i="68"/>
  <c r="I40" i="68"/>
  <c r="AE40" i="68" s="1"/>
  <c r="O40" i="68" l="1"/>
  <c r="V42" i="68"/>
  <c r="W42" i="68" s="1"/>
  <c r="Y42" i="68" s="1"/>
  <c r="V40" i="68"/>
  <c r="P13" i="68"/>
  <c r="R13" i="68" s="1"/>
  <c r="T13" i="68" s="1"/>
  <c r="P14" i="68"/>
  <c r="R14" i="68" s="1"/>
  <c r="T14" i="68" s="1"/>
  <c r="P42" i="68"/>
  <c r="R42" i="68" s="1"/>
  <c r="T42" i="68" s="1"/>
  <c r="P43" i="68"/>
  <c r="R43" i="68" s="1"/>
  <c r="P40" i="68"/>
  <c r="V13" i="68"/>
  <c r="W13" i="68" s="1"/>
  <c r="Y13" i="68" s="1"/>
  <c r="P41" i="68"/>
  <c r="R41" i="68" s="1"/>
  <c r="T41" i="68" s="1"/>
  <c r="E56" i="42"/>
  <c r="E55" i="42"/>
  <c r="E54" i="42"/>
  <c r="E53" i="42"/>
  <c r="E52" i="42"/>
  <c r="E51" i="42"/>
  <c r="E35" i="42"/>
  <c r="E34" i="42"/>
  <c r="E32" i="42"/>
  <c r="E31" i="42"/>
  <c r="F31" i="42" s="1"/>
  <c r="E33" i="42"/>
  <c r="F33" i="42" s="1"/>
  <c r="E29" i="42"/>
  <c r="F29" i="42" s="1"/>
  <c r="E28" i="42"/>
  <c r="F28" i="42" s="1"/>
  <c r="E27" i="42"/>
  <c r="F27" i="42" s="1"/>
  <c r="E25" i="42"/>
  <c r="E24" i="42"/>
  <c r="E23" i="42"/>
  <c r="F23" i="42" s="1"/>
  <c r="E22" i="42"/>
  <c r="F22" i="42" s="1"/>
  <c r="E21" i="42"/>
  <c r="E20" i="42"/>
  <c r="E30" i="42"/>
  <c r="F30" i="42" s="1"/>
  <c r="E57" i="42"/>
  <c r="E58" i="42"/>
  <c r="H43" i="9"/>
  <c r="D55" i="69"/>
  <c r="E26" i="42"/>
  <c r="Z42" i="68" l="1"/>
  <c r="AA42" i="68" s="1"/>
  <c r="R40" i="68"/>
  <c r="W40" i="68"/>
  <c r="T43" i="68"/>
  <c r="V43" i="68"/>
  <c r="W43" i="68" s="1"/>
  <c r="Y43" i="68" s="1"/>
  <c r="Z43" i="68" s="1"/>
  <c r="AB43" i="68" s="1"/>
  <c r="V14" i="68"/>
  <c r="W14" i="68" s="1"/>
  <c r="Y14" i="68" s="1"/>
  <c r="Z14" i="68" s="1"/>
  <c r="V41" i="68"/>
  <c r="W41" i="68" s="1"/>
  <c r="Y41" i="68" s="1"/>
  <c r="Z41" i="68" s="1"/>
  <c r="AB41" i="68" s="1"/>
  <c r="Z13" i="68"/>
  <c r="AA13" i="68" s="1"/>
  <c r="E10" i="42"/>
  <c r="E59" i="42"/>
  <c r="E60" i="42"/>
  <c r="E42" i="42"/>
  <c r="E48" i="42"/>
  <c r="F48" i="42" s="1"/>
  <c r="E65" i="42"/>
  <c r="E16" i="42"/>
  <c r="E46" i="42"/>
  <c r="E45" i="42"/>
  <c r="AG263" i="68"/>
  <c r="AF263" i="68"/>
  <c r="AD263" i="68"/>
  <c r="AC263" i="68"/>
  <c r="Q263" i="68"/>
  <c r="N263" i="68"/>
  <c r="O263" i="68" s="1"/>
  <c r="I263" i="68"/>
  <c r="AE263" i="68" s="1"/>
  <c r="AG189" i="68"/>
  <c r="AF189" i="68"/>
  <c r="AD189" i="68"/>
  <c r="AC189" i="68"/>
  <c r="Q189" i="68"/>
  <c r="N189" i="68"/>
  <c r="O189" i="68" s="1"/>
  <c r="I189" i="68"/>
  <c r="AE189" i="68" s="1"/>
  <c r="AA14" i="68" l="1"/>
  <c r="Y40" i="68"/>
  <c r="T40" i="68"/>
  <c r="AA41" i="68"/>
  <c r="P263" i="68"/>
  <c r="T263" i="68" s="1"/>
  <c r="V263" i="68"/>
  <c r="W263" i="68" s="1"/>
  <c r="Y263" i="68" s="1"/>
  <c r="AA43" i="68"/>
  <c r="P189" i="68"/>
  <c r="T189" i="68" s="1"/>
  <c r="V189" i="68"/>
  <c r="W189" i="68" s="1"/>
  <c r="Y189" i="68" s="1"/>
  <c r="E63" i="42"/>
  <c r="E62" i="42"/>
  <c r="E61" i="42"/>
  <c r="E64" i="42"/>
  <c r="E44" i="42"/>
  <c r="E41" i="42"/>
  <c r="E47" i="42"/>
  <c r="A33" i="40"/>
  <c r="A32" i="40"/>
  <c r="A31" i="40"/>
  <c r="A30" i="40"/>
  <c r="A28" i="40"/>
  <c r="A27" i="40"/>
  <c r="A26" i="40"/>
  <c r="A25" i="40"/>
  <c r="A24" i="40"/>
  <c r="A23" i="40"/>
  <c r="A22" i="40"/>
  <c r="A21" i="40"/>
  <c r="A20" i="40"/>
  <c r="A19" i="40"/>
  <c r="A18" i="40"/>
  <c r="A17" i="40"/>
  <c r="A16" i="40"/>
  <c r="Z40" i="68" l="1"/>
  <c r="AA40" i="68" s="1"/>
  <c r="Z263" i="68"/>
  <c r="AB263" i="68" s="1"/>
  <c r="R263" i="68"/>
  <c r="Z189" i="68"/>
  <c r="AB189" i="68" s="1"/>
  <c r="R189" i="68"/>
  <c r="F20" i="34"/>
  <c r="E40" i="42"/>
  <c r="E39" i="42"/>
  <c r="E43" i="42"/>
  <c r="E15" i="42"/>
  <c r="E14" i="42"/>
  <c r="E13" i="42"/>
  <c r="E12" i="42"/>
  <c r="E11" i="42"/>
  <c r="A63" i="32"/>
  <c r="C49" i="32"/>
  <c r="A49" i="32"/>
  <c r="C59" i="32"/>
  <c r="A59" i="32"/>
  <c r="C45" i="32"/>
  <c r="A45" i="32"/>
  <c r="AA263" i="68" l="1"/>
  <c r="AA189" i="68"/>
  <c r="AB40" i="68"/>
  <c r="N29" i="32"/>
  <c r="G59" i="32" s="1"/>
  <c r="M29" i="32"/>
  <c r="F59" i="32" s="1"/>
  <c r="N19" i="32"/>
  <c r="M19" i="32"/>
  <c r="F49" i="32" s="1"/>
  <c r="N15" i="32"/>
  <c r="G45" i="32" s="1"/>
  <c r="M15" i="32"/>
  <c r="F45" i="32" s="1"/>
  <c r="I349" i="68"/>
  <c r="AG346" i="68"/>
  <c r="AF346" i="68"/>
  <c r="AE346" i="68"/>
  <c r="AD346" i="68"/>
  <c r="AC346" i="68"/>
  <c r="Q346" i="68"/>
  <c r="N346" i="68"/>
  <c r="O346" i="68" s="1"/>
  <c r="I346" i="68"/>
  <c r="AG312" i="68"/>
  <c r="AF312" i="68"/>
  <c r="AD312" i="68"/>
  <c r="AC312" i="68"/>
  <c r="Q312" i="68"/>
  <c r="N312" i="68"/>
  <c r="O312" i="68" s="1"/>
  <c r="I312" i="68"/>
  <c r="AE312" i="68" s="1"/>
  <c r="AG57" i="68"/>
  <c r="AF57" i="68"/>
  <c r="AD57" i="68"/>
  <c r="AC57" i="68"/>
  <c r="Q57" i="68"/>
  <c r="N57" i="68"/>
  <c r="O57" i="68" s="1"/>
  <c r="I57" i="68"/>
  <c r="AE57" i="68" s="1"/>
  <c r="L278" i="68"/>
  <c r="AG262" i="68"/>
  <c r="AF262" i="68"/>
  <c r="AD262" i="68"/>
  <c r="AC262" i="68"/>
  <c r="Q262" i="68"/>
  <c r="N262" i="68"/>
  <c r="O262" i="68" s="1"/>
  <c r="I262" i="68"/>
  <c r="AE262" i="68" s="1"/>
  <c r="AG188" i="68"/>
  <c r="AF188" i="68"/>
  <c r="AD188" i="68"/>
  <c r="AC188" i="68"/>
  <c r="Q188" i="68"/>
  <c r="N188" i="68"/>
  <c r="O188" i="68" s="1"/>
  <c r="I188" i="68"/>
  <c r="AE188" i="68" s="1"/>
  <c r="AG187" i="68"/>
  <c r="AF187" i="68"/>
  <c r="AD187" i="68"/>
  <c r="AC187" i="68"/>
  <c r="Q187" i="68"/>
  <c r="N187" i="68"/>
  <c r="O187" i="68" s="1"/>
  <c r="I187" i="68"/>
  <c r="AE187" i="68" s="1"/>
  <c r="AG31" i="68"/>
  <c r="AF31" i="68"/>
  <c r="AD31" i="68"/>
  <c r="AC31" i="68"/>
  <c r="Q31" i="68"/>
  <c r="N31" i="68"/>
  <c r="O31" i="68" s="1"/>
  <c r="I31" i="68"/>
  <c r="AE31" i="68" s="1"/>
  <c r="H59" i="32" l="1"/>
  <c r="H45" i="32"/>
  <c r="P15" i="32" s="1"/>
  <c r="Q15" i="32" s="1"/>
  <c r="G49" i="32"/>
  <c r="H49" i="32" s="1"/>
  <c r="P19" i="32" s="1"/>
  <c r="Q19" i="32" s="1"/>
  <c r="V346" i="68"/>
  <c r="W346" i="68" s="1"/>
  <c r="Y346" i="68" s="1"/>
  <c r="P312" i="68"/>
  <c r="T312" i="68" s="1"/>
  <c r="P57" i="68"/>
  <c r="T57" i="68" s="1"/>
  <c r="V57" i="68"/>
  <c r="W57" i="68" s="1"/>
  <c r="Y57" i="68" s="1"/>
  <c r="V312" i="68"/>
  <c r="W312" i="68" s="1"/>
  <c r="Y312" i="68" s="1"/>
  <c r="AU19" i="68"/>
  <c r="P262" i="68"/>
  <c r="T262" i="68" s="1"/>
  <c r="P346" i="68"/>
  <c r="V262" i="68"/>
  <c r="W262" i="68" s="1"/>
  <c r="Y262" i="68" s="1"/>
  <c r="P188" i="68"/>
  <c r="T188" i="68" s="1"/>
  <c r="V187" i="68"/>
  <c r="W187" i="68" s="1"/>
  <c r="Y187" i="68" s="1"/>
  <c r="V188" i="68"/>
  <c r="W188" i="68" s="1"/>
  <c r="Y188" i="68" s="1"/>
  <c r="P187" i="68"/>
  <c r="T187" i="68" s="1"/>
  <c r="P31" i="68"/>
  <c r="T31" i="68" s="1"/>
  <c r="V31" i="68"/>
  <c r="W31" i="68" s="1"/>
  <c r="Y31" i="68" s="1"/>
  <c r="AU21" i="68" l="1"/>
  <c r="AW19" i="68"/>
  <c r="P29" i="32"/>
  <c r="Q29" i="32" s="1"/>
  <c r="Q30" i="32"/>
  <c r="R30" i="32" s="1"/>
  <c r="Z312" i="68"/>
  <c r="AB312" i="68" s="1"/>
  <c r="R57" i="68"/>
  <c r="R312" i="68"/>
  <c r="AV19" i="68"/>
  <c r="Z57" i="68"/>
  <c r="AA57" i="68" s="1"/>
  <c r="R262" i="68"/>
  <c r="Z262" i="68"/>
  <c r="AB262" i="68" s="1"/>
  <c r="Z31" i="68"/>
  <c r="AB31" i="68" s="1"/>
  <c r="R346" i="68"/>
  <c r="T346" i="68"/>
  <c r="Z346" i="68" s="1"/>
  <c r="AA312" i="68"/>
  <c r="Z187" i="68"/>
  <c r="AB187" i="68" s="1"/>
  <c r="R187" i="68"/>
  <c r="R31" i="68"/>
  <c r="R188" i="68"/>
  <c r="Z188" i="68"/>
  <c r="AB188" i="68" s="1"/>
  <c r="U26" i="48"/>
  <c r="U16" i="48"/>
  <c r="U12" i="49"/>
  <c r="S29" i="49"/>
  <c r="S27" i="49"/>
  <c r="U27" i="49" s="1"/>
  <c r="S26" i="49"/>
  <c r="S25" i="49"/>
  <c r="S24" i="49"/>
  <c r="S23" i="49"/>
  <c r="U23" i="49" s="1"/>
  <c r="S22" i="49"/>
  <c r="S21" i="49"/>
  <c r="S20" i="49"/>
  <c r="S19" i="49"/>
  <c r="U19" i="49" s="1"/>
  <c r="S18" i="49"/>
  <c r="S16" i="49"/>
  <c r="U16" i="49" s="1"/>
  <c r="S15" i="49"/>
  <c r="S14" i="49"/>
  <c r="S13" i="49"/>
  <c r="AA288" i="47"/>
  <c r="AA287" i="47"/>
  <c r="AA286" i="47"/>
  <c r="AA285" i="47"/>
  <c r="AA284" i="47"/>
  <c r="AA283" i="47"/>
  <c r="AA282" i="47"/>
  <c r="AA281" i="47"/>
  <c r="AA280" i="47"/>
  <c r="AA279" i="47"/>
  <c r="AA278" i="47"/>
  <c r="AA277" i="47"/>
  <c r="AA276" i="47"/>
  <c r="AA275" i="47"/>
  <c r="AA274" i="47"/>
  <c r="AA273" i="47"/>
  <c r="AA272" i="47"/>
  <c r="AA271" i="47"/>
  <c r="AA270" i="47"/>
  <c r="AA269" i="47"/>
  <c r="AA268" i="47"/>
  <c r="AA264" i="47"/>
  <c r="AA263" i="47"/>
  <c r="AA262" i="47"/>
  <c r="AA258" i="47"/>
  <c r="AA257" i="47"/>
  <c r="AA256" i="47"/>
  <c r="AA255" i="47"/>
  <c r="AA254" i="47"/>
  <c r="AA253" i="47"/>
  <c r="AA252" i="47"/>
  <c r="AA251" i="47"/>
  <c r="AA250" i="47"/>
  <c r="AA249" i="47"/>
  <c r="AA248" i="47"/>
  <c r="AA247" i="47"/>
  <c r="AA246" i="47"/>
  <c r="AA245" i="47"/>
  <c r="AA244" i="47"/>
  <c r="AA243" i="47"/>
  <c r="AA242" i="47"/>
  <c r="AA241" i="47"/>
  <c r="AA240" i="47"/>
  <c r="AA239" i="47"/>
  <c r="AA238" i="47"/>
  <c r="AA237" i="47"/>
  <c r="AA236" i="47"/>
  <c r="AA235" i="47"/>
  <c r="AA234" i="47"/>
  <c r="AA233" i="47"/>
  <c r="AA232" i="47"/>
  <c r="AA231" i="47"/>
  <c r="AA230" i="47"/>
  <c r="AA229" i="47"/>
  <c r="AA228" i="47"/>
  <c r="AA227" i="47"/>
  <c r="AA226" i="47"/>
  <c r="AA225" i="47"/>
  <c r="AA224" i="47"/>
  <c r="AA223" i="47"/>
  <c r="AA222" i="47"/>
  <c r="AA221" i="47"/>
  <c r="AA220" i="47"/>
  <c r="AA219" i="47"/>
  <c r="AA218" i="47"/>
  <c r="AA217" i="47"/>
  <c r="AA216" i="47"/>
  <c r="AA215" i="47"/>
  <c r="AA214" i="47"/>
  <c r="AA213" i="47"/>
  <c r="AA212" i="47"/>
  <c r="AA211" i="47"/>
  <c r="AA210" i="47"/>
  <c r="AA209" i="47"/>
  <c r="AA208" i="47"/>
  <c r="AA207" i="47"/>
  <c r="AA206" i="47"/>
  <c r="AA205" i="47"/>
  <c r="AA204" i="47"/>
  <c r="AA203" i="47"/>
  <c r="AA202" i="47"/>
  <c r="AA201" i="47"/>
  <c r="AA200" i="47"/>
  <c r="AA199" i="47"/>
  <c r="AA198" i="47"/>
  <c r="AA197" i="47"/>
  <c r="AA196" i="47"/>
  <c r="AA195" i="47"/>
  <c r="AA194" i="47"/>
  <c r="AA193" i="47"/>
  <c r="AA192" i="47"/>
  <c r="AA191" i="47"/>
  <c r="AA190" i="47"/>
  <c r="AA189" i="47"/>
  <c r="AA188" i="47"/>
  <c r="AA187" i="47"/>
  <c r="AA186" i="47"/>
  <c r="AA185" i="47"/>
  <c r="AA184" i="47"/>
  <c r="AA183" i="47"/>
  <c r="AA182" i="47"/>
  <c r="AA181" i="47"/>
  <c r="AA180" i="47"/>
  <c r="AA179" i="47"/>
  <c r="AA178" i="47"/>
  <c r="AA177" i="47"/>
  <c r="AA176" i="47"/>
  <c r="AA175" i="47"/>
  <c r="AA174" i="47"/>
  <c r="AA173" i="47"/>
  <c r="AA172" i="47"/>
  <c r="AA171" i="47"/>
  <c r="AA170" i="47"/>
  <c r="AA169" i="47"/>
  <c r="AA168" i="47"/>
  <c r="AA167" i="47"/>
  <c r="AA166" i="47"/>
  <c r="AA165" i="47"/>
  <c r="AA164" i="47"/>
  <c r="AA163" i="47"/>
  <c r="AA162" i="47"/>
  <c r="AA161" i="47"/>
  <c r="AA160" i="47"/>
  <c r="AA159" i="47"/>
  <c r="AA158" i="47"/>
  <c r="AA157" i="47"/>
  <c r="AA156" i="47"/>
  <c r="AA155" i="47"/>
  <c r="AA154" i="47"/>
  <c r="AA153" i="47"/>
  <c r="AA152" i="47"/>
  <c r="AA151" i="47"/>
  <c r="AA150" i="47"/>
  <c r="AA149" i="47"/>
  <c r="AA148" i="47"/>
  <c r="AA147" i="47"/>
  <c r="AA146" i="47"/>
  <c r="AA145" i="47"/>
  <c r="AA144" i="47"/>
  <c r="AA143" i="47"/>
  <c r="AA142" i="47"/>
  <c r="AA141" i="47"/>
  <c r="AA140" i="47"/>
  <c r="AA139" i="47"/>
  <c r="AA138" i="47"/>
  <c r="AA137" i="47"/>
  <c r="AA136" i="47"/>
  <c r="AA135" i="47"/>
  <c r="AA134" i="47"/>
  <c r="AA133" i="47"/>
  <c r="AA132" i="47"/>
  <c r="AA131" i="47"/>
  <c r="AA130" i="47"/>
  <c r="AA129" i="47"/>
  <c r="AA128" i="47"/>
  <c r="AA127" i="47"/>
  <c r="AA126" i="47"/>
  <c r="AA125" i="47"/>
  <c r="AA124" i="47"/>
  <c r="AA123" i="47"/>
  <c r="AA122" i="47"/>
  <c r="AA121" i="47"/>
  <c r="AA120" i="47"/>
  <c r="AA119" i="47"/>
  <c r="AA118" i="47"/>
  <c r="AA117" i="47"/>
  <c r="AA116" i="47"/>
  <c r="AA115" i="47"/>
  <c r="AA114" i="47"/>
  <c r="AA113" i="47"/>
  <c r="AA112" i="47"/>
  <c r="AA111" i="47"/>
  <c r="AA110" i="47"/>
  <c r="AA109" i="47"/>
  <c r="AA108" i="47"/>
  <c r="AA107" i="47"/>
  <c r="AA106" i="47"/>
  <c r="AA105" i="47"/>
  <c r="AA104" i="47"/>
  <c r="AA103" i="47"/>
  <c r="AA102" i="47"/>
  <c r="AA101" i="47"/>
  <c r="AA100" i="47"/>
  <c r="AA99" i="47"/>
  <c r="AA98" i="47"/>
  <c r="AA97" i="47"/>
  <c r="AA96" i="47"/>
  <c r="AA95" i="47"/>
  <c r="AA94" i="47"/>
  <c r="AA93" i="47"/>
  <c r="AA92" i="47"/>
  <c r="AA91" i="47"/>
  <c r="AA90" i="47"/>
  <c r="AA89" i="47"/>
  <c r="AA88" i="47"/>
  <c r="AA87" i="47"/>
  <c r="AA86" i="47"/>
  <c r="AA85" i="47"/>
  <c r="AA84" i="47"/>
  <c r="AA83" i="47"/>
  <c r="AA82" i="47"/>
  <c r="AA81" i="47"/>
  <c r="AA80" i="47"/>
  <c r="AA79" i="47"/>
  <c r="AA78" i="47"/>
  <c r="AA77" i="47"/>
  <c r="AA76" i="47"/>
  <c r="AA75" i="47"/>
  <c r="AA74" i="47"/>
  <c r="AA73" i="47"/>
  <c r="AA72" i="47"/>
  <c r="AA71" i="47"/>
  <c r="AA70" i="47"/>
  <c r="AA69" i="47"/>
  <c r="AA68" i="47"/>
  <c r="AA67" i="47"/>
  <c r="AA66" i="47"/>
  <c r="AA65" i="47"/>
  <c r="AA64" i="47"/>
  <c r="AA63" i="47"/>
  <c r="AA62" i="47"/>
  <c r="AA61" i="47"/>
  <c r="AA60" i="47"/>
  <c r="AA59" i="47"/>
  <c r="AA58" i="47"/>
  <c r="AA57" i="47"/>
  <c r="AA56" i="47"/>
  <c r="AA55" i="47"/>
  <c r="AA54" i="47"/>
  <c r="AA53" i="47"/>
  <c r="AA52" i="47"/>
  <c r="AA51" i="47"/>
  <c r="AA50" i="47"/>
  <c r="AA49" i="47"/>
  <c r="AA48" i="47"/>
  <c r="AC48" i="47" s="1"/>
  <c r="AC45" i="47" s="1"/>
  <c r="AA47" i="47"/>
  <c r="AC47" i="47" s="1"/>
  <c r="AC44" i="47" s="1"/>
  <c r="AA46" i="47"/>
  <c r="AC46" i="47" s="1"/>
  <c r="AC43" i="47" s="1"/>
  <c r="AA45" i="47"/>
  <c r="AA44" i="47"/>
  <c r="AA43" i="47"/>
  <c r="AA42" i="47"/>
  <c r="AC42" i="47" s="1"/>
  <c r="AC39" i="47" s="1"/>
  <c r="AA41" i="47"/>
  <c r="AC41" i="47" s="1"/>
  <c r="AC38" i="47" s="1"/>
  <c r="AA40" i="47"/>
  <c r="AC40" i="47" s="1"/>
  <c r="AC37" i="47" s="1"/>
  <c r="AA39" i="47"/>
  <c r="AA38" i="47"/>
  <c r="AA37" i="47"/>
  <c r="AA36" i="47"/>
  <c r="AA35" i="47"/>
  <c r="AA34" i="47"/>
  <c r="AA33" i="47"/>
  <c r="AA32" i="47"/>
  <c r="AA31" i="47"/>
  <c r="AA30" i="47"/>
  <c r="AA29" i="47"/>
  <c r="AA28" i="47"/>
  <c r="AA27" i="47"/>
  <c r="AA26" i="47"/>
  <c r="AA25" i="47"/>
  <c r="AA24" i="47"/>
  <c r="AA23" i="47"/>
  <c r="AA22" i="47"/>
  <c r="AA21" i="47"/>
  <c r="AA20" i="47"/>
  <c r="AA19" i="47"/>
  <c r="AA18" i="47"/>
  <c r="AA17" i="47"/>
  <c r="AA16" i="47"/>
  <c r="AA15" i="47"/>
  <c r="AA14" i="47"/>
  <c r="AA13" i="47"/>
  <c r="AA12" i="47"/>
  <c r="AA11" i="47"/>
  <c r="AA10" i="47"/>
  <c r="U19" i="48" l="1"/>
  <c r="U31" i="48"/>
  <c r="AX19" i="68"/>
  <c r="AW21" i="68"/>
  <c r="U27" i="48"/>
  <c r="U30" i="48"/>
  <c r="U22" i="48"/>
  <c r="AB57" i="68"/>
  <c r="AA31" i="68"/>
  <c r="AA262" i="68"/>
  <c r="AB346" i="68"/>
  <c r="AA346" i="68"/>
  <c r="AA187" i="68"/>
  <c r="AA188" i="68"/>
  <c r="U28" i="48"/>
  <c r="U29" i="48"/>
  <c r="U24" i="48"/>
  <c r="U25" i="48"/>
  <c r="U18" i="48"/>
  <c r="U13" i="48"/>
  <c r="U14" i="48"/>
  <c r="U23" i="48"/>
  <c r="U15" i="48"/>
  <c r="U20" i="48"/>
  <c r="U33" i="48"/>
  <c r="U12" i="48"/>
  <c r="U21" i="48"/>
  <c r="U22" i="49"/>
  <c r="U18" i="49"/>
  <c r="U13" i="49"/>
  <c r="U24" i="49"/>
  <c r="U20" i="49"/>
  <c r="U15" i="49"/>
  <c r="U29" i="49"/>
  <c r="U14" i="49"/>
  <c r="U26" i="49"/>
  <c r="U25" i="49"/>
  <c r="U21" i="49"/>
  <c r="F21" i="27"/>
  <c r="F20" i="27"/>
  <c r="F19" i="27"/>
  <c r="E21" i="27"/>
  <c r="E20" i="27"/>
  <c r="E19" i="27"/>
  <c r="D21" i="27"/>
  <c r="D20" i="27"/>
  <c r="D19" i="27"/>
  <c r="V16" i="49" l="1"/>
  <c r="V29" i="49"/>
  <c r="V33" i="48"/>
  <c r="U42" i="48"/>
  <c r="V16" i="48"/>
  <c r="U41" i="48"/>
  <c r="K67" i="5"/>
  <c r="K66" i="5"/>
  <c r="K65" i="5"/>
  <c r="K64" i="5"/>
  <c r="K63" i="5"/>
  <c r="K62" i="5"/>
  <c r="K61" i="5"/>
  <c r="K60" i="5"/>
  <c r="K59" i="5"/>
  <c r="K58" i="5"/>
  <c r="K57" i="5"/>
  <c r="J67" i="5"/>
  <c r="J66" i="5"/>
  <c r="J65" i="5"/>
  <c r="J64" i="5"/>
  <c r="J63" i="5"/>
  <c r="J62" i="5"/>
  <c r="J61" i="5"/>
  <c r="J60" i="5"/>
  <c r="J59" i="5"/>
  <c r="J58" i="5"/>
  <c r="J57" i="5"/>
  <c r="K56" i="5"/>
  <c r="J56" i="5"/>
  <c r="J43" i="5"/>
  <c r="J42" i="5"/>
  <c r="J41" i="5"/>
  <c r="J40" i="5"/>
  <c r="J39" i="5"/>
  <c r="J38" i="5"/>
  <c r="J37" i="5"/>
  <c r="J36" i="5"/>
  <c r="J35" i="5"/>
  <c r="J34" i="5"/>
  <c r="J33" i="5"/>
  <c r="J32" i="5"/>
  <c r="K43" i="5"/>
  <c r="K42" i="5"/>
  <c r="K41" i="5"/>
  <c r="K40" i="5"/>
  <c r="K39" i="5"/>
  <c r="K38" i="5"/>
  <c r="K37" i="5"/>
  <c r="K36" i="5"/>
  <c r="K35" i="5"/>
  <c r="K34" i="5"/>
  <c r="K33" i="5"/>
  <c r="K32" i="5"/>
  <c r="F66" i="5"/>
  <c r="F65" i="5"/>
  <c r="F64" i="5"/>
  <c r="F63" i="5"/>
  <c r="E67" i="5"/>
  <c r="E66" i="5"/>
  <c r="E65" i="5"/>
  <c r="E64" i="5"/>
  <c r="E63" i="5"/>
  <c r="A67" i="5"/>
  <c r="A66" i="5"/>
  <c r="A65" i="5"/>
  <c r="A64" i="5"/>
  <c r="A63" i="5"/>
  <c r="A42" i="5"/>
  <c r="A41" i="5"/>
  <c r="A40" i="5"/>
  <c r="A39" i="5"/>
  <c r="F43" i="5"/>
  <c r="F42" i="5"/>
  <c r="F41" i="5"/>
  <c r="F40" i="5"/>
  <c r="F39" i="5"/>
  <c r="E43" i="5"/>
  <c r="E42" i="5"/>
  <c r="E41" i="5"/>
  <c r="E40" i="5"/>
  <c r="E39" i="5"/>
  <c r="K21" i="5"/>
  <c r="J21" i="5"/>
  <c r="F21" i="5"/>
  <c r="E21" i="5"/>
  <c r="K20" i="5"/>
  <c r="J20" i="5"/>
  <c r="F20" i="5"/>
  <c r="E20" i="5"/>
  <c r="K19" i="5"/>
  <c r="J19" i="5"/>
  <c r="F19" i="5"/>
  <c r="E19" i="5"/>
  <c r="K18" i="5"/>
  <c r="J18" i="5"/>
  <c r="F18" i="5"/>
  <c r="E18" i="5"/>
  <c r="K17" i="5"/>
  <c r="J17" i="5"/>
  <c r="F17" i="5"/>
  <c r="E17" i="5"/>
  <c r="A21" i="5"/>
  <c r="A20" i="5"/>
  <c r="A19" i="5"/>
  <c r="A18" i="5"/>
  <c r="A17" i="5"/>
  <c r="F64" i="27"/>
  <c r="E64" i="27"/>
  <c r="D64" i="27"/>
  <c r="F63" i="27"/>
  <c r="E63" i="27"/>
  <c r="D63" i="27"/>
  <c r="F62" i="27"/>
  <c r="E62" i="27"/>
  <c r="D62" i="27"/>
  <c r="C62" i="27" s="1"/>
  <c r="F61" i="27"/>
  <c r="E61" i="27"/>
  <c r="D61" i="27"/>
  <c r="F60" i="27"/>
  <c r="E60" i="27"/>
  <c r="D60" i="27"/>
  <c r="A64" i="27"/>
  <c r="A63" i="27"/>
  <c r="A62" i="27"/>
  <c r="A61" i="27"/>
  <c r="A60" i="27"/>
  <c r="A39" i="27"/>
  <c r="A40" i="27"/>
  <c r="A41" i="27"/>
  <c r="A42" i="27"/>
  <c r="F42" i="27"/>
  <c r="E42" i="27"/>
  <c r="D42" i="27"/>
  <c r="F41" i="27"/>
  <c r="E41" i="27"/>
  <c r="D41" i="27"/>
  <c r="F40" i="27"/>
  <c r="E40" i="27"/>
  <c r="D40" i="27"/>
  <c r="F39" i="27"/>
  <c r="E39" i="27"/>
  <c r="D39" i="27"/>
  <c r="F38" i="27"/>
  <c r="E38" i="27"/>
  <c r="D38" i="27"/>
  <c r="A38" i="27"/>
  <c r="F18" i="27"/>
  <c r="E18" i="27"/>
  <c r="D18" i="27"/>
  <c r="F17" i="27"/>
  <c r="E17" i="27"/>
  <c r="D17" i="27"/>
  <c r="A21" i="27"/>
  <c r="A20" i="27"/>
  <c r="A19" i="27"/>
  <c r="A18" i="27"/>
  <c r="A17" i="27"/>
  <c r="C43" i="5"/>
  <c r="C42" i="5"/>
  <c r="C41" i="5"/>
  <c r="C67" i="5"/>
  <c r="C66" i="5"/>
  <c r="C65" i="5"/>
  <c r="C21" i="5"/>
  <c r="C20" i="5"/>
  <c r="C19" i="5"/>
  <c r="C40" i="5"/>
  <c r="C64" i="5"/>
  <c r="C18" i="5"/>
  <c r="AI37" i="48"/>
  <c r="AH37" i="48"/>
  <c r="AG37" i="48"/>
  <c r="AF37" i="48"/>
  <c r="AE37" i="48"/>
  <c r="AD37" i="48"/>
  <c r="AC37" i="48"/>
  <c r="AB37" i="48"/>
  <c r="AA37" i="48"/>
  <c r="Z37" i="48"/>
  <c r="Y37" i="48"/>
  <c r="X37" i="48"/>
  <c r="F38" i="13"/>
  <c r="M38" i="13" s="1"/>
  <c r="N38" i="13" s="1"/>
  <c r="K51" i="38"/>
  <c r="J51" i="38"/>
  <c r="G51" i="38"/>
  <c r="D51" i="38"/>
  <c r="K50" i="38"/>
  <c r="J50" i="38"/>
  <c r="G50" i="38"/>
  <c r="D50" i="38"/>
  <c r="K49" i="38"/>
  <c r="J49" i="38"/>
  <c r="G49" i="38"/>
  <c r="D49" i="38"/>
  <c r="K48" i="38"/>
  <c r="J48" i="38"/>
  <c r="G48" i="38"/>
  <c r="D48" i="38"/>
  <c r="K47" i="38"/>
  <c r="J47" i="38"/>
  <c r="G47" i="38"/>
  <c r="D47" i="38"/>
  <c r="K46" i="38"/>
  <c r="J46" i="38"/>
  <c r="G46" i="38"/>
  <c r="D46" i="38"/>
  <c r="K45" i="38"/>
  <c r="J45" i="38"/>
  <c r="G45" i="38"/>
  <c r="D45" i="38"/>
  <c r="K44" i="38"/>
  <c r="J44" i="38"/>
  <c r="G44" i="38"/>
  <c r="D44" i="38"/>
  <c r="K43" i="38"/>
  <c r="J43" i="38"/>
  <c r="G43" i="38"/>
  <c r="D43" i="38"/>
  <c r="K42" i="38"/>
  <c r="J42" i="38"/>
  <c r="G42" i="38"/>
  <c r="D42" i="38"/>
  <c r="K41" i="38"/>
  <c r="J41" i="38"/>
  <c r="G41" i="38"/>
  <c r="D41" i="38"/>
  <c r="K40" i="38"/>
  <c r="J40" i="38"/>
  <c r="G40" i="38"/>
  <c r="D40" i="38"/>
  <c r="P18" i="38"/>
  <c r="P17" i="38"/>
  <c r="P16" i="38"/>
  <c r="P15" i="38"/>
  <c r="P14" i="38"/>
  <c r="P13" i="38"/>
  <c r="P12" i="38"/>
  <c r="P11" i="38"/>
  <c r="P19" i="38"/>
  <c r="N75" i="7"/>
  <c r="N70" i="7"/>
  <c r="AG186" i="68"/>
  <c r="AF186" i="68"/>
  <c r="AD186" i="68"/>
  <c r="AC186" i="68"/>
  <c r="Q186" i="68"/>
  <c r="N186" i="68"/>
  <c r="O186" i="68" s="1"/>
  <c r="I186" i="68"/>
  <c r="AE186" i="68" s="1"/>
  <c r="O71" i="4"/>
  <c r="C72" i="69" s="1"/>
  <c r="E72" i="69" s="1"/>
  <c r="I72" i="69" s="1"/>
  <c r="C73" i="3" s="1"/>
  <c r="D20" i="5" l="1"/>
  <c r="H20" i="5" s="1"/>
  <c r="C61" i="27"/>
  <c r="D41" i="5"/>
  <c r="H41" i="5" s="1"/>
  <c r="C40" i="27"/>
  <c r="C42" i="27"/>
  <c r="C41" i="27"/>
  <c r="D66" i="5"/>
  <c r="H66" i="5" s="1"/>
  <c r="I66" i="5" s="1"/>
  <c r="D178" i="7"/>
  <c r="C72" i="2"/>
  <c r="F72" i="2" s="1"/>
  <c r="J72" i="2" s="1"/>
  <c r="U37" i="48"/>
  <c r="D21" i="5"/>
  <c r="H21" i="5" s="1"/>
  <c r="D43" i="5"/>
  <c r="H43" i="5" s="1"/>
  <c r="I43" i="5" s="1"/>
  <c r="C60" i="27"/>
  <c r="C39" i="27"/>
  <c r="D64" i="5"/>
  <c r="H64" i="5" s="1"/>
  <c r="I64" i="5" s="1"/>
  <c r="D19" i="5"/>
  <c r="H19" i="5" s="1"/>
  <c r="V186" i="68"/>
  <c r="W186" i="68" s="1"/>
  <c r="Y186" i="68" s="1"/>
  <c r="P186" i="68"/>
  <c r="T186" i="68" s="1"/>
  <c r="C64" i="27"/>
  <c r="I21" i="5"/>
  <c r="D42" i="5"/>
  <c r="H42" i="5" s="1"/>
  <c r="I42" i="5" s="1"/>
  <c r="C63" i="27"/>
  <c r="I20" i="5"/>
  <c r="D65" i="5"/>
  <c r="H65" i="5" s="1"/>
  <c r="I65" i="5" s="1"/>
  <c r="I19" i="5"/>
  <c r="D40" i="5"/>
  <c r="H40" i="5" s="1"/>
  <c r="I40" i="5" s="1"/>
  <c r="I41" i="5"/>
  <c r="D18" i="5"/>
  <c r="H18" i="5" s="1"/>
  <c r="I18" i="5" s="1"/>
  <c r="C38" i="27"/>
  <c r="W74" i="37"/>
  <c r="W73" i="37"/>
  <c r="W69" i="37"/>
  <c r="W68" i="37"/>
  <c r="W67" i="37"/>
  <c r="W66" i="37"/>
  <c r="W65" i="37"/>
  <c r="W64" i="37"/>
  <c r="W63" i="37"/>
  <c r="W62" i="37"/>
  <c r="W61" i="37"/>
  <c r="W60" i="37"/>
  <c r="W59" i="37"/>
  <c r="W58" i="37"/>
  <c r="W57" i="37"/>
  <c r="W56" i="37"/>
  <c r="W55" i="37"/>
  <c r="W54" i="37"/>
  <c r="W51" i="37"/>
  <c r="W50" i="37"/>
  <c r="W49" i="37"/>
  <c r="W48" i="37"/>
  <c r="W47" i="37"/>
  <c r="W46" i="37"/>
  <c r="W45" i="37"/>
  <c r="W44" i="37"/>
  <c r="W43" i="37"/>
  <c r="W42" i="37"/>
  <c r="W41" i="37"/>
  <c r="W40" i="37"/>
  <c r="W38" i="37"/>
  <c r="W37" i="37"/>
  <c r="W35" i="37"/>
  <c r="W32" i="37"/>
  <c r="W31" i="37"/>
  <c r="W30" i="37"/>
  <c r="W29" i="37"/>
  <c r="W28" i="37"/>
  <c r="W27" i="37"/>
  <c r="W26" i="37"/>
  <c r="W25" i="37"/>
  <c r="W24" i="37"/>
  <c r="W23" i="37"/>
  <c r="W22" i="37"/>
  <c r="W21" i="37"/>
  <c r="W20" i="37"/>
  <c r="W19" i="37"/>
  <c r="W18" i="37"/>
  <c r="W17" i="37"/>
  <c r="W16" i="37"/>
  <c r="W15" i="37"/>
  <c r="W14" i="37"/>
  <c r="W13" i="37"/>
  <c r="W12" i="37"/>
  <c r="W11" i="37"/>
  <c r="T74" i="37"/>
  <c r="T73" i="37"/>
  <c r="T69" i="37"/>
  <c r="T68" i="37"/>
  <c r="T67" i="37"/>
  <c r="T66" i="37"/>
  <c r="T65" i="37"/>
  <c r="T64" i="37"/>
  <c r="T63" i="37"/>
  <c r="T62" i="37"/>
  <c r="T61" i="37"/>
  <c r="T60" i="37"/>
  <c r="T59" i="37"/>
  <c r="T58" i="37"/>
  <c r="T57" i="37"/>
  <c r="T56" i="37"/>
  <c r="T55" i="37"/>
  <c r="T54" i="37"/>
  <c r="T51" i="37"/>
  <c r="T50" i="37"/>
  <c r="T49" i="37"/>
  <c r="T48" i="37"/>
  <c r="T47" i="37"/>
  <c r="T46" i="37"/>
  <c r="T45" i="37"/>
  <c r="T44" i="37"/>
  <c r="T43" i="37"/>
  <c r="T42" i="37"/>
  <c r="T41" i="37"/>
  <c r="T40" i="37"/>
  <c r="T38" i="37"/>
  <c r="T37" i="37"/>
  <c r="T35" i="37"/>
  <c r="T32" i="37"/>
  <c r="T31" i="37"/>
  <c r="T30" i="37"/>
  <c r="T29" i="37"/>
  <c r="T28" i="37"/>
  <c r="T27" i="37"/>
  <c r="T26" i="37"/>
  <c r="T25" i="37"/>
  <c r="T24" i="37"/>
  <c r="T23" i="37"/>
  <c r="T22" i="37"/>
  <c r="T21" i="37"/>
  <c r="T20" i="37"/>
  <c r="T19" i="37"/>
  <c r="T18" i="37"/>
  <c r="T17" i="37"/>
  <c r="T16" i="37"/>
  <c r="T15" i="37"/>
  <c r="T14" i="37"/>
  <c r="T13" i="37"/>
  <c r="T12" i="37"/>
  <c r="T11" i="37"/>
  <c r="O74" i="37"/>
  <c r="O73" i="37"/>
  <c r="O69" i="37"/>
  <c r="O68" i="37"/>
  <c r="O67" i="37"/>
  <c r="O66" i="37"/>
  <c r="O65" i="37"/>
  <c r="O64" i="37"/>
  <c r="O63" i="37"/>
  <c r="O62" i="37"/>
  <c r="O61" i="37"/>
  <c r="O60" i="37"/>
  <c r="O59" i="37"/>
  <c r="O58" i="37"/>
  <c r="O57" i="37"/>
  <c r="O56" i="37"/>
  <c r="O55" i="37"/>
  <c r="O54" i="37"/>
  <c r="O51" i="37"/>
  <c r="O50" i="37"/>
  <c r="O49" i="37"/>
  <c r="O48" i="37"/>
  <c r="O47" i="37"/>
  <c r="O46" i="37"/>
  <c r="O45" i="37"/>
  <c r="O44" i="37"/>
  <c r="O43" i="37"/>
  <c r="O42" i="37"/>
  <c r="O41" i="37"/>
  <c r="O40" i="37"/>
  <c r="O38" i="37"/>
  <c r="O37" i="37"/>
  <c r="O35" i="37"/>
  <c r="O32" i="37"/>
  <c r="O31" i="37"/>
  <c r="O30" i="37"/>
  <c r="O29" i="37"/>
  <c r="O28" i="37"/>
  <c r="O27" i="37"/>
  <c r="O26" i="37"/>
  <c r="O25" i="37"/>
  <c r="O24" i="37"/>
  <c r="O23" i="37"/>
  <c r="O22" i="37"/>
  <c r="O21" i="37"/>
  <c r="O20" i="37"/>
  <c r="O19" i="37"/>
  <c r="O18" i="37"/>
  <c r="O17" i="37"/>
  <c r="O16" i="37"/>
  <c r="O15" i="37"/>
  <c r="O14" i="37"/>
  <c r="O13" i="37"/>
  <c r="O12" i="37"/>
  <c r="O11" i="37"/>
  <c r="L74" i="37"/>
  <c r="L73" i="37"/>
  <c r="L69" i="37"/>
  <c r="L68" i="37"/>
  <c r="L67" i="37"/>
  <c r="L66" i="37"/>
  <c r="L65" i="37"/>
  <c r="L64" i="37"/>
  <c r="L63" i="37"/>
  <c r="L62" i="37"/>
  <c r="L61" i="37"/>
  <c r="L60" i="37"/>
  <c r="L59" i="37"/>
  <c r="L58" i="37"/>
  <c r="L57" i="37"/>
  <c r="L56" i="37"/>
  <c r="L55" i="37"/>
  <c r="L54" i="37"/>
  <c r="L51" i="37"/>
  <c r="L50" i="37"/>
  <c r="L49" i="37"/>
  <c r="L48" i="37"/>
  <c r="L47" i="37"/>
  <c r="L46" i="37"/>
  <c r="L45" i="37"/>
  <c r="L44" i="37"/>
  <c r="L43" i="37"/>
  <c r="L42" i="37"/>
  <c r="L41" i="37"/>
  <c r="L40" i="37"/>
  <c r="L38" i="37"/>
  <c r="L37" i="37"/>
  <c r="L35" i="37"/>
  <c r="L32" i="37"/>
  <c r="L31" i="37"/>
  <c r="L30" i="37"/>
  <c r="L29" i="37"/>
  <c r="L28" i="37"/>
  <c r="L27" i="37"/>
  <c r="L26" i="37"/>
  <c r="L25" i="37"/>
  <c r="L24" i="37"/>
  <c r="L23" i="37"/>
  <c r="L22" i="37"/>
  <c r="L21" i="37"/>
  <c r="L20" i="37"/>
  <c r="L19" i="37"/>
  <c r="L18" i="37"/>
  <c r="L17" i="37"/>
  <c r="L16" i="37"/>
  <c r="L15" i="37"/>
  <c r="L14" i="37"/>
  <c r="L13" i="37"/>
  <c r="L12" i="37"/>
  <c r="L11" i="37"/>
  <c r="G74" i="37"/>
  <c r="G73" i="37"/>
  <c r="G69" i="37"/>
  <c r="G68" i="37"/>
  <c r="G67" i="37"/>
  <c r="G66" i="37"/>
  <c r="G65" i="37"/>
  <c r="G64" i="37"/>
  <c r="G63" i="37"/>
  <c r="G62" i="37"/>
  <c r="G61" i="37"/>
  <c r="G60" i="37"/>
  <c r="G59" i="37"/>
  <c r="G58" i="37"/>
  <c r="G57" i="37"/>
  <c r="G56" i="37"/>
  <c r="G55" i="37"/>
  <c r="G54" i="37"/>
  <c r="G51" i="37"/>
  <c r="G50" i="37"/>
  <c r="G49" i="37"/>
  <c r="G48" i="37"/>
  <c r="G47" i="37"/>
  <c r="G46" i="37"/>
  <c r="G45" i="37"/>
  <c r="G44" i="37"/>
  <c r="G43" i="37"/>
  <c r="G42" i="37"/>
  <c r="G41" i="37"/>
  <c r="G40" i="37"/>
  <c r="G38" i="37"/>
  <c r="G37" i="37"/>
  <c r="G35" i="37"/>
  <c r="G32" i="37"/>
  <c r="G31" i="37"/>
  <c r="G30" i="37"/>
  <c r="G29" i="37"/>
  <c r="G28" i="37"/>
  <c r="G27" i="37"/>
  <c r="G26" i="37"/>
  <c r="G25" i="37"/>
  <c r="G24" i="37"/>
  <c r="G23" i="37"/>
  <c r="G22" i="37"/>
  <c r="G21" i="37"/>
  <c r="G20" i="37"/>
  <c r="G19" i="37"/>
  <c r="G18" i="37"/>
  <c r="G17" i="37"/>
  <c r="G16" i="37"/>
  <c r="G15" i="37"/>
  <c r="G14" i="37"/>
  <c r="G13" i="37"/>
  <c r="G12" i="37"/>
  <c r="G11" i="37"/>
  <c r="D74" i="37"/>
  <c r="D73" i="37"/>
  <c r="D69" i="37"/>
  <c r="D68" i="37"/>
  <c r="D67" i="37"/>
  <c r="D66" i="37"/>
  <c r="D65" i="37"/>
  <c r="D64" i="37"/>
  <c r="D63" i="37"/>
  <c r="D62" i="37"/>
  <c r="D61" i="37"/>
  <c r="D60" i="37"/>
  <c r="D59" i="37"/>
  <c r="D58" i="37"/>
  <c r="D57" i="37"/>
  <c r="D56" i="37"/>
  <c r="D55" i="37"/>
  <c r="D54" i="37"/>
  <c r="D51" i="37"/>
  <c r="D50" i="37"/>
  <c r="D49" i="37"/>
  <c r="D48" i="37"/>
  <c r="D47" i="37"/>
  <c r="D46" i="37"/>
  <c r="D45" i="37"/>
  <c r="D44" i="37"/>
  <c r="D43" i="37"/>
  <c r="D42" i="37"/>
  <c r="D41" i="37"/>
  <c r="D40" i="37"/>
  <c r="D38" i="37"/>
  <c r="D37" i="37"/>
  <c r="D35" i="37"/>
  <c r="D32" i="37"/>
  <c r="D31" i="37"/>
  <c r="D30" i="37"/>
  <c r="D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E23" i="35"/>
  <c r="E22" i="35"/>
  <c r="E21" i="35"/>
  <c r="E20" i="35"/>
  <c r="E19" i="35"/>
  <c r="E18" i="35"/>
  <c r="E17" i="35"/>
  <c r="E16" i="35"/>
  <c r="E15" i="35"/>
  <c r="E14" i="35"/>
  <c r="E13" i="35"/>
  <c r="E12" i="35"/>
  <c r="B23" i="35"/>
  <c r="B22" i="35"/>
  <c r="B21" i="35"/>
  <c r="B20" i="35"/>
  <c r="B19" i="35"/>
  <c r="B18" i="35"/>
  <c r="B17" i="35"/>
  <c r="B16" i="35"/>
  <c r="B15" i="35"/>
  <c r="B14" i="35"/>
  <c r="B13" i="35"/>
  <c r="B12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30" i="14"/>
  <c r="AG54" i="68"/>
  <c r="AF54" i="68"/>
  <c r="AD54" i="68"/>
  <c r="AC54" i="68"/>
  <c r="Q54" i="68"/>
  <c r="N54" i="68"/>
  <c r="O54" i="68" s="1"/>
  <c r="I54" i="68"/>
  <c r="AE54" i="68" s="1"/>
  <c r="AG53" i="68"/>
  <c r="AF53" i="68"/>
  <c r="AD53" i="68"/>
  <c r="AC53" i="68"/>
  <c r="Q53" i="68"/>
  <c r="N53" i="68"/>
  <c r="O53" i="68" s="1"/>
  <c r="I53" i="68"/>
  <c r="AE53" i="68" s="1"/>
  <c r="AG311" i="68"/>
  <c r="AF311" i="68"/>
  <c r="AD311" i="68"/>
  <c r="AC311" i="68"/>
  <c r="Q311" i="68"/>
  <c r="N311" i="68"/>
  <c r="O311" i="68" s="1"/>
  <c r="I311" i="68"/>
  <c r="AE311" i="68" s="1"/>
  <c r="AG310" i="68"/>
  <c r="AF310" i="68"/>
  <c r="AD310" i="68"/>
  <c r="AC310" i="68"/>
  <c r="Q310" i="68"/>
  <c r="N310" i="68"/>
  <c r="O310" i="68" s="1"/>
  <c r="I310" i="68"/>
  <c r="AE310" i="68" s="1"/>
  <c r="L285" i="68"/>
  <c r="I283" i="68"/>
  <c r="AE283" i="68" s="1"/>
  <c r="AG283" i="68"/>
  <c r="AF283" i="68"/>
  <c r="AD283" i="68"/>
  <c r="AC283" i="68"/>
  <c r="Q283" i="68"/>
  <c r="N283" i="68"/>
  <c r="O283" i="68" s="1"/>
  <c r="AG30" i="68"/>
  <c r="AF30" i="68"/>
  <c r="AD30" i="68"/>
  <c r="AC30" i="68"/>
  <c r="Q30" i="68"/>
  <c r="N30" i="68"/>
  <c r="O30" i="68" s="1"/>
  <c r="I30" i="68"/>
  <c r="AE30" i="68" s="1"/>
  <c r="AG29" i="68"/>
  <c r="AF29" i="68"/>
  <c r="AD29" i="68"/>
  <c r="AC29" i="68"/>
  <c r="Q29" i="68"/>
  <c r="N29" i="68"/>
  <c r="O29" i="68" s="1"/>
  <c r="I29" i="68"/>
  <c r="AE29" i="68" s="1"/>
  <c r="AG28" i="68"/>
  <c r="AF28" i="68"/>
  <c r="AD28" i="68"/>
  <c r="AC28" i="68"/>
  <c r="Q28" i="68"/>
  <c r="N28" i="68"/>
  <c r="O28" i="68" s="1"/>
  <c r="I28" i="68"/>
  <c r="AE28" i="68" s="1"/>
  <c r="AG185" i="68"/>
  <c r="AF185" i="68"/>
  <c r="AD185" i="68"/>
  <c r="AC185" i="68"/>
  <c r="Q185" i="68"/>
  <c r="N185" i="68"/>
  <c r="O185" i="68" s="1"/>
  <c r="I185" i="68"/>
  <c r="AE185" i="68" s="1"/>
  <c r="AG184" i="68"/>
  <c r="AF184" i="68"/>
  <c r="AD184" i="68"/>
  <c r="AC184" i="68"/>
  <c r="Q184" i="68"/>
  <c r="N184" i="68"/>
  <c r="O184" i="68" s="1"/>
  <c r="I184" i="68"/>
  <c r="AE184" i="68" s="1"/>
  <c r="AG183" i="68"/>
  <c r="AF183" i="68"/>
  <c r="AD183" i="68"/>
  <c r="AC183" i="68"/>
  <c r="Q183" i="68"/>
  <c r="N183" i="68"/>
  <c r="O183" i="68" s="1"/>
  <c r="I183" i="68"/>
  <c r="AE183" i="68" s="1"/>
  <c r="AG182" i="68"/>
  <c r="AF182" i="68"/>
  <c r="AD182" i="68"/>
  <c r="AC182" i="68"/>
  <c r="Q182" i="68"/>
  <c r="N182" i="68"/>
  <c r="O182" i="68" s="1"/>
  <c r="I182" i="68"/>
  <c r="AE182" i="68" s="1"/>
  <c r="E31" i="41"/>
  <c r="F31" i="41"/>
  <c r="C43" i="32"/>
  <c r="A43" i="32"/>
  <c r="N13" i="32"/>
  <c r="G43" i="32" s="1"/>
  <c r="M13" i="32"/>
  <c r="F43" i="32" s="1"/>
  <c r="G15" i="9"/>
  <c r="G14" i="9"/>
  <c r="G13" i="9"/>
  <c r="G12" i="9"/>
  <c r="G11" i="9"/>
  <c r="G10" i="9"/>
  <c r="N33" i="32"/>
  <c r="M33" i="32"/>
  <c r="F63" i="32" s="1"/>
  <c r="AC257" i="47"/>
  <c r="AC204" i="47"/>
  <c r="AC279" i="47" s="1"/>
  <c r="AC203" i="47"/>
  <c r="AC278" i="47" s="1"/>
  <c r="AC202" i="47"/>
  <c r="AC277" i="47" s="1"/>
  <c r="AC201" i="47"/>
  <c r="AC276" i="47" s="1"/>
  <c r="AC200" i="47"/>
  <c r="AC275" i="47" s="1"/>
  <c r="AC199" i="47"/>
  <c r="AC274" i="47" s="1"/>
  <c r="AC196" i="47"/>
  <c r="AC271" i="47" s="1"/>
  <c r="W203" i="47"/>
  <c r="W278" i="47" s="1"/>
  <c r="AC192" i="47"/>
  <c r="AC270" i="47" s="1"/>
  <c r="AC191" i="47"/>
  <c r="AC269" i="47" s="1"/>
  <c r="AC190" i="47"/>
  <c r="AC268" i="47" s="1"/>
  <c r="AC189" i="47"/>
  <c r="AD261" i="47" s="1"/>
  <c r="X35" i="31" s="1"/>
  <c r="AC188" i="47"/>
  <c r="AD260" i="47" s="1"/>
  <c r="O35" i="31" s="1"/>
  <c r="AC185" i="47"/>
  <c r="AC184" i="47"/>
  <c r="AC256" i="47" s="1"/>
  <c r="AC183" i="47"/>
  <c r="AC182" i="47"/>
  <c r="AC181" i="47"/>
  <c r="W204" i="47"/>
  <c r="W279" i="47" s="1"/>
  <c r="W202" i="47"/>
  <c r="W277" i="47" s="1"/>
  <c r="W201" i="47"/>
  <c r="W276" i="47" s="1"/>
  <c r="W200" i="47"/>
  <c r="W275" i="47" s="1"/>
  <c r="W199" i="47"/>
  <c r="W274" i="47" s="1"/>
  <c r="W198" i="47"/>
  <c r="W273" i="47" s="1"/>
  <c r="W197" i="47"/>
  <c r="W272" i="47" s="1"/>
  <c r="W196" i="47"/>
  <c r="W271" i="47" s="1"/>
  <c r="X195" i="47"/>
  <c r="U25" i="31" s="1"/>
  <c r="S26" i="37" s="1"/>
  <c r="V26" i="37" s="1"/>
  <c r="X194" i="47"/>
  <c r="L25" i="31" s="1"/>
  <c r="K26" i="37" s="1"/>
  <c r="N26" i="37" s="1"/>
  <c r="W192" i="47"/>
  <c r="W191" i="47"/>
  <c r="W190" i="47"/>
  <c r="W189" i="47"/>
  <c r="X261" i="47" s="1"/>
  <c r="U35" i="31" s="1"/>
  <c r="W188" i="47"/>
  <c r="X260" i="47" s="1"/>
  <c r="L35" i="31" s="1"/>
  <c r="W187" i="47"/>
  <c r="X259" i="47" s="1"/>
  <c r="C35" i="31" s="1"/>
  <c r="W186" i="47"/>
  <c r="W258" i="47" s="1"/>
  <c r="W185" i="47"/>
  <c r="W257" i="47" s="1"/>
  <c r="W184" i="47"/>
  <c r="W256" i="47" s="1"/>
  <c r="W183" i="47"/>
  <c r="W182" i="47"/>
  <c r="W181" i="47"/>
  <c r="X63" i="47"/>
  <c r="U99" i="31" s="1"/>
  <c r="X62" i="47"/>
  <c r="X61" i="47"/>
  <c r="C99" i="31" s="1"/>
  <c r="AD195" i="47"/>
  <c r="X25" i="31" s="1"/>
  <c r="O195" i="47"/>
  <c r="R195" i="47" s="1"/>
  <c r="AD194" i="47"/>
  <c r="O25" i="31" s="1"/>
  <c r="Q25" i="31" s="1"/>
  <c r="O194" i="47"/>
  <c r="R194" i="47" s="1"/>
  <c r="AD193" i="47"/>
  <c r="F25" i="31" s="1"/>
  <c r="X193" i="47"/>
  <c r="C25" i="31" s="1"/>
  <c r="C26" i="37" s="1"/>
  <c r="F26" i="37" s="1"/>
  <c r="O193" i="47"/>
  <c r="R193" i="47" s="1"/>
  <c r="AC198" i="47"/>
  <c r="AC273" i="47" s="1"/>
  <c r="AC197" i="47"/>
  <c r="AC272" i="47" s="1"/>
  <c r="AC187" i="47"/>
  <c r="AD259" i="47" s="1"/>
  <c r="F35" i="31" s="1"/>
  <c r="AC186" i="47"/>
  <c r="AC258" i="47" s="1"/>
  <c r="AC63" i="47"/>
  <c r="AD63" i="47" s="1"/>
  <c r="X99" i="31" s="1"/>
  <c r="O63" i="47"/>
  <c r="R63" i="47" s="1"/>
  <c r="AC62" i="47"/>
  <c r="AD62" i="47" s="1"/>
  <c r="O99" i="31" s="1"/>
  <c r="O62" i="47"/>
  <c r="R62" i="47" s="1"/>
  <c r="AC61" i="47"/>
  <c r="AD61" i="47" s="1"/>
  <c r="F99" i="31" s="1"/>
  <c r="O61" i="47"/>
  <c r="R61" i="47" s="1"/>
  <c r="I82" i="44"/>
  <c r="I81" i="44"/>
  <c r="H83" i="9"/>
  <c r="H85" i="9" s="1"/>
  <c r="H88" i="9" s="1"/>
  <c r="A22" i="39"/>
  <c r="A21" i="39"/>
  <c r="A20" i="39"/>
  <c r="A19" i="39"/>
  <c r="A18" i="39"/>
  <c r="A17" i="39"/>
  <c r="A16" i="39"/>
  <c r="A15" i="39"/>
  <c r="A14" i="39"/>
  <c r="A13" i="39"/>
  <c r="A12" i="39"/>
  <c r="A11" i="39"/>
  <c r="Q45" i="39"/>
  <c r="R44" i="39"/>
  <c r="Q44" i="39"/>
  <c r="I42" i="39"/>
  <c r="H42" i="39"/>
  <c r="J42" i="39" s="1"/>
  <c r="F42" i="39"/>
  <c r="E42" i="39"/>
  <c r="G42" i="39" s="1"/>
  <c r="C42" i="39"/>
  <c r="B42" i="39"/>
  <c r="I41" i="39"/>
  <c r="H41" i="39"/>
  <c r="F41" i="39"/>
  <c r="E41" i="39"/>
  <c r="C41" i="39"/>
  <c r="K41" i="39" s="1"/>
  <c r="B41" i="39"/>
  <c r="D41" i="39" s="1"/>
  <c r="I40" i="39"/>
  <c r="H40" i="39"/>
  <c r="F40" i="39"/>
  <c r="E40" i="39"/>
  <c r="C40" i="39"/>
  <c r="K40" i="39" s="1"/>
  <c r="B40" i="39"/>
  <c r="D40" i="39" s="1"/>
  <c r="I39" i="39"/>
  <c r="H39" i="39"/>
  <c r="F39" i="39"/>
  <c r="E39" i="39"/>
  <c r="C39" i="39"/>
  <c r="B39" i="39"/>
  <c r="D39" i="39" s="1"/>
  <c r="I38" i="39"/>
  <c r="H38" i="39"/>
  <c r="J38" i="39" s="1"/>
  <c r="F38" i="39"/>
  <c r="E38" i="39"/>
  <c r="C38" i="39"/>
  <c r="B38" i="39"/>
  <c r="I37" i="39"/>
  <c r="H37" i="39"/>
  <c r="J37" i="39" s="1"/>
  <c r="F37" i="39"/>
  <c r="E37" i="39"/>
  <c r="C37" i="39"/>
  <c r="B37" i="39"/>
  <c r="D37" i="39" s="1"/>
  <c r="I38" i="12"/>
  <c r="P38" i="12" s="1"/>
  <c r="Q38" i="12" s="1"/>
  <c r="K38" i="3"/>
  <c r="H38" i="3"/>
  <c r="O38" i="3"/>
  <c r="P38" i="3" s="1"/>
  <c r="O36" i="4"/>
  <c r="G63" i="32" l="1"/>
  <c r="H63" i="32" s="1"/>
  <c r="P33" i="32" s="1"/>
  <c r="Q33" i="32" s="1"/>
  <c r="D42" i="39"/>
  <c r="W269" i="47"/>
  <c r="X266" i="47"/>
  <c r="L38" i="31" s="1"/>
  <c r="K36" i="37"/>
  <c r="N35" i="31"/>
  <c r="S36" i="37"/>
  <c r="W35" i="31"/>
  <c r="W268" i="47"/>
  <c r="X265" i="47"/>
  <c r="C38" i="31" s="1"/>
  <c r="W270" i="47"/>
  <c r="X267" i="47"/>
  <c r="U38" i="31" s="1"/>
  <c r="C36" i="37"/>
  <c r="F36" i="37" s="1"/>
  <c r="E35" i="31"/>
  <c r="Z35" i="31"/>
  <c r="AA35" i="31"/>
  <c r="C33" i="16" s="1"/>
  <c r="Q35" i="31"/>
  <c r="R35" i="31"/>
  <c r="I35" i="31"/>
  <c r="C35" i="14" s="1"/>
  <c r="H35" i="31"/>
  <c r="P26" i="37"/>
  <c r="J40" i="39"/>
  <c r="K39" i="39"/>
  <c r="G39" i="39"/>
  <c r="D38" i="39"/>
  <c r="C37" i="2"/>
  <c r="F37" i="2" s="1"/>
  <c r="J37" i="2" s="1"/>
  <c r="D143" i="7"/>
  <c r="Z186" i="68"/>
  <c r="AA186" i="68" s="1"/>
  <c r="R186" i="68"/>
  <c r="P30" i="68"/>
  <c r="R30" i="68" s="1"/>
  <c r="I83" i="44"/>
  <c r="O81" i="44" s="1"/>
  <c r="J39" i="39"/>
  <c r="G41" i="39"/>
  <c r="G40" i="39"/>
  <c r="J41" i="39"/>
  <c r="K38" i="39"/>
  <c r="G37" i="39"/>
  <c r="K37" i="39"/>
  <c r="G38" i="39"/>
  <c r="K42" i="39"/>
  <c r="P184" i="68"/>
  <c r="R184" i="68" s="1"/>
  <c r="P183" i="68"/>
  <c r="R183" i="68" s="1"/>
  <c r="P311" i="68"/>
  <c r="R311" i="68" s="1"/>
  <c r="V54" i="68"/>
  <c r="W54" i="68" s="1"/>
  <c r="Y54" i="68" s="1"/>
  <c r="P185" i="68"/>
  <c r="R185" i="68" s="1"/>
  <c r="P53" i="68"/>
  <c r="R53" i="68" s="1"/>
  <c r="P54" i="68"/>
  <c r="R54" i="68" s="1"/>
  <c r="P310" i="68"/>
  <c r="T310" i="68" s="1"/>
  <c r="P182" i="68"/>
  <c r="T182" i="68" s="1"/>
  <c r="P28" i="68"/>
  <c r="T28" i="68" s="1"/>
  <c r="P29" i="68"/>
  <c r="T29" i="68" s="1"/>
  <c r="C37" i="69"/>
  <c r="E37" i="69" s="1"/>
  <c r="I37" i="69" s="1"/>
  <c r="C38" i="3" s="1"/>
  <c r="X26" i="37"/>
  <c r="H26" i="37"/>
  <c r="E26" i="37"/>
  <c r="U26" i="37"/>
  <c r="M26" i="37"/>
  <c r="Q26" i="37" s="1"/>
  <c r="V53" i="68"/>
  <c r="W53" i="68" s="1"/>
  <c r="Y53" i="68" s="1"/>
  <c r="V311" i="68"/>
  <c r="W311" i="68" s="1"/>
  <c r="Y311" i="68" s="1"/>
  <c r="V310" i="68"/>
  <c r="W310" i="68" s="1"/>
  <c r="Y310" i="68" s="1"/>
  <c r="V283" i="68"/>
  <c r="W283" i="68" s="1"/>
  <c r="Y283" i="68" s="1"/>
  <c r="P283" i="68"/>
  <c r="T283" i="68" s="1"/>
  <c r="V30" i="68"/>
  <c r="W30" i="68" s="1"/>
  <c r="Y30" i="68" s="1"/>
  <c r="V29" i="68"/>
  <c r="W29" i="68" s="1"/>
  <c r="Y29" i="68" s="1"/>
  <c r="V28" i="68"/>
  <c r="W28" i="68" s="1"/>
  <c r="Y28" i="68" s="1"/>
  <c r="V185" i="68"/>
  <c r="W185" i="68" s="1"/>
  <c r="Y185" i="68" s="1"/>
  <c r="V183" i="68"/>
  <c r="W183" i="68" s="1"/>
  <c r="Y183" i="68" s="1"/>
  <c r="V182" i="68"/>
  <c r="W182" i="68" s="1"/>
  <c r="Y182" i="68" s="1"/>
  <c r="V184" i="68"/>
  <c r="W184" i="68" s="1"/>
  <c r="Y184" i="68" s="1"/>
  <c r="Z25" i="31"/>
  <c r="AB186" i="68" l="1"/>
  <c r="E33" i="16"/>
  <c r="J33" i="16"/>
  <c r="K33" i="16" s="1"/>
  <c r="P35" i="14"/>
  <c r="J35" i="14"/>
  <c r="E35" i="14"/>
  <c r="AC35" i="31"/>
  <c r="AH35" i="31"/>
  <c r="C33" i="15"/>
  <c r="S35" i="31"/>
  <c r="AB35" i="31"/>
  <c r="N36" i="37"/>
  <c r="P36" i="37" s="1"/>
  <c r="M36" i="37"/>
  <c r="C39" i="37"/>
  <c r="E38" i="31"/>
  <c r="J38" i="31" s="1"/>
  <c r="I38" i="31"/>
  <c r="C38" i="14" s="1"/>
  <c r="V36" i="37"/>
  <c r="X36" i="37" s="1"/>
  <c r="U36" i="37"/>
  <c r="J35" i="31"/>
  <c r="AE35" i="31" s="1"/>
  <c r="S39" i="37"/>
  <c r="AA38" i="31"/>
  <c r="C36" i="16" s="1"/>
  <c r="W38" i="31"/>
  <c r="AB38" i="31" s="1"/>
  <c r="K39" i="37"/>
  <c r="R38" i="31"/>
  <c r="N38" i="31"/>
  <c r="S38" i="31" s="1"/>
  <c r="AD35" i="31"/>
  <c r="T30" i="68"/>
  <c r="Z30" i="68" s="1"/>
  <c r="AB30" i="68" s="1"/>
  <c r="T311" i="68"/>
  <c r="Z311" i="68" s="1"/>
  <c r="AB311" i="68" s="1"/>
  <c r="R29" i="68"/>
  <c r="T184" i="68"/>
  <c r="Z184" i="68" s="1"/>
  <c r="AB184" i="68" s="1"/>
  <c r="T185" i="68"/>
  <c r="Z185" i="68" s="1"/>
  <c r="AB185" i="68" s="1"/>
  <c r="T183" i="68"/>
  <c r="Z183" i="68" s="1"/>
  <c r="AB183" i="68" s="1"/>
  <c r="T54" i="68"/>
  <c r="Z54" i="68" s="1"/>
  <c r="AB54" i="68" s="1"/>
  <c r="T53" i="68"/>
  <c r="Z53" i="68" s="1"/>
  <c r="AB53" i="68" s="1"/>
  <c r="R310" i="68"/>
  <c r="R28" i="68"/>
  <c r="R182" i="68"/>
  <c r="Z310" i="68"/>
  <c r="AB310" i="68" s="1"/>
  <c r="Z182" i="68"/>
  <c r="AB182" i="68" s="1"/>
  <c r="Z29" i="68"/>
  <c r="AB29" i="68" s="1"/>
  <c r="Y26" i="37"/>
  <c r="I26" i="37"/>
  <c r="Z283" i="68"/>
  <c r="AB283" i="68" s="1"/>
  <c r="R283" i="68"/>
  <c r="Z28" i="68"/>
  <c r="AB28" i="68" s="1"/>
  <c r="C40" i="3"/>
  <c r="C51" i="3"/>
  <c r="C57" i="3"/>
  <c r="C60" i="3"/>
  <c r="C64" i="3"/>
  <c r="C85" i="3"/>
  <c r="C88" i="3"/>
  <c r="C90" i="3"/>
  <c r="C99" i="3"/>
  <c r="K35" i="14" l="1"/>
  <c r="K36" i="16"/>
  <c r="H36" i="16"/>
  <c r="E36" i="16"/>
  <c r="J36" i="16"/>
  <c r="J33" i="15"/>
  <c r="K33" i="15" s="1"/>
  <c r="E33" i="15"/>
  <c r="AC38" i="31"/>
  <c r="C36" i="15"/>
  <c r="AH38" i="31"/>
  <c r="E38" i="14"/>
  <c r="P38" i="14"/>
  <c r="J38" i="14"/>
  <c r="K38" i="14" s="1"/>
  <c r="AD38" i="31"/>
  <c r="Y36" i="37"/>
  <c r="Q36" i="37"/>
  <c r="N39" i="37"/>
  <c r="P39" i="37" s="1"/>
  <c r="M39" i="37"/>
  <c r="Q39" i="37" s="1"/>
  <c r="AE38" i="31"/>
  <c r="F39" i="37"/>
  <c r="H39" i="37" s="1"/>
  <c r="E39" i="37"/>
  <c r="I39" i="37" s="1"/>
  <c r="U39" i="37"/>
  <c r="V39" i="37"/>
  <c r="X39" i="37" s="1"/>
  <c r="AA26" i="37"/>
  <c r="AA311" i="68"/>
  <c r="AA54" i="68"/>
  <c r="AA182" i="68"/>
  <c r="AA184" i="68"/>
  <c r="AA185" i="68"/>
  <c r="AA310" i="68"/>
  <c r="AA29" i="68"/>
  <c r="AA30" i="68"/>
  <c r="AA53" i="68"/>
  <c r="AA183" i="68"/>
  <c r="AA283" i="68"/>
  <c r="AA28" i="68"/>
  <c r="H36" i="15" l="1"/>
  <c r="J36" i="15"/>
  <c r="K36" i="15"/>
  <c r="E36" i="15"/>
  <c r="Y39" i="37"/>
  <c r="H95" i="9"/>
  <c r="H96" i="9"/>
  <c r="H94" i="9"/>
  <c r="O30" i="14"/>
  <c r="AD49" i="47" l="1"/>
  <c r="F10" i="31" s="1"/>
  <c r="H10" i="31" s="1"/>
  <c r="W13" i="25"/>
  <c r="W14" i="25"/>
  <c r="W15" i="25"/>
  <c r="W16" i="25"/>
  <c r="V50" i="8"/>
  <c r="W50" i="8"/>
  <c r="X50" i="8"/>
  <c r="Y50" i="8"/>
  <c r="Y53" i="8" s="1"/>
  <c r="AB50" i="8"/>
  <c r="V51" i="8"/>
  <c r="Y51" i="8"/>
  <c r="AB51" i="8"/>
  <c r="V49" i="8"/>
  <c r="W49" i="8"/>
  <c r="X49" i="8"/>
  <c r="Y49" i="8"/>
  <c r="AB49" i="8"/>
  <c r="AB53" i="8" s="1"/>
  <c r="AC49" i="8"/>
  <c r="U38" i="8"/>
  <c r="V53" i="8"/>
  <c r="J28" i="9"/>
  <c r="E28" i="9"/>
  <c r="U40" i="8"/>
  <c r="V26" i="8"/>
  <c r="Y26" i="8"/>
  <c r="AB26" i="8"/>
  <c r="V27" i="8"/>
  <c r="Y27" i="8"/>
  <c r="AB27" i="8"/>
  <c r="V25" i="8"/>
  <c r="V29" i="8" s="1"/>
  <c r="Y25" i="8"/>
  <c r="Y29" i="8" s="1"/>
  <c r="AB25" i="8"/>
  <c r="AC25" i="8"/>
  <c r="AB29" i="8"/>
  <c r="AD297" i="68"/>
  <c r="AF297" i="68"/>
  <c r="AG297" i="68"/>
  <c r="AD298" i="68"/>
  <c r="AF298" i="68"/>
  <c r="AG298" i="68"/>
  <c r="AD299" i="68"/>
  <c r="AF299" i="68"/>
  <c r="AG299" i="68"/>
  <c r="AD300" i="68"/>
  <c r="AF300" i="68"/>
  <c r="AG300" i="68"/>
  <c r="AD301" i="68"/>
  <c r="AF301" i="68"/>
  <c r="AG301" i="68"/>
  <c r="AD302" i="68"/>
  <c r="AF302" i="68"/>
  <c r="AG302" i="68"/>
  <c r="AD303" i="68"/>
  <c r="AF303" i="68"/>
  <c r="AG303" i="68"/>
  <c r="AD304" i="68"/>
  <c r="AF304" i="68"/>
  <c r="AG304" i="68"/>
  <c r="AD305" i="68"/>
  <c r="AF305" i="68"/>
  <c r="AG305" i="68"/>
  <c r="Q297" i="68"/>
  <c r="Q298" i="68"/>
  <c r="Q299" i="68"/>
  <c r="Q300" i="68"/>
  <c r="Q301" i="68"/>
  <c r="Q302" i="68"/>
  <c r="Q303" i="68"/>
  <c r="I305" i="68"/>
  <c r="AE305" i="68" s="1"/>
  <c r="Q305" i="68" s="1"/>
  <c r="I303" i="68"/>
  <c r="AE303" i="68" s="1"/>
  <c r="I301" i="68"/>
  <c r="AE301" i="68" s="1"/>
  <c r="I299" i="68"/>
  <c r="AE299" i="68" s="1"/>
  <c r="I297" i="68"/>
  <c r="AE297" i="68" s="1"/>
  <c r="AC305" i="68"/>
  <c r="AC303" i="68"/>
  <c r="AC301" i="68"/>
  <c r="AC299" i="68"/>
  <c r="AC297" i="68"/>
  <c r="N297" i="68"/>
  <c r="O297" i="68" s="1"/>
  <c r="N298" i="68"/>
  <c r="O298" i="68" s="1"/>
  <c r="N299" i="68"/>
  <c r="O299" i="68" s="1"/>
  <c r="N300" i="68"/>
  <c r="O300" i="68" s="1"/>
  <c r="N301" i="68"/>
  <c r="O301" i="68" s="1"/>
  <c r="N302" i="68"/>
  <c r="O302" i="68" s="1"/>
  <c r="N303" i="68"/>
  <c r="O303" i="68" s="1"/>
  <c r="N304" i="68"/>
  <c r="O304" i="68" s="1"/>
  <c r="N305" i="68"/>
  <c r="O305" i="68" s="1"/>
  <c r="L68" i="68"/>
  <c r="AC64" i="68"/>
  <c r="AD64" i="68"/>
  <c r="AF64" i="68"/>
  <c r="AG64" i="68"/>
  <c r="Q64" i="68"/>
  <c r="N64" i="68"/>
  <c r="O64" i="68" s="1"/>
  <c r="I64" i="68"/>
  <c r="AE64" i="68" s="1"/>
  <c r="AC20" i="68"/>
  <c r="AD20" i="68"/>
  <c r="AF20" i="68"/>
  <c r="AG20" i="68"/>
  <c r="N20" i="68"/>
  <c r="O20" i="68" s="1"/>
  <c r="I20" i="68"/>
  <c r="AE20" i="68" s="1"/>
  <c r="N44" i="68"/>
  <c r="N46" i="68"/>
  <c r="O46" i="68" s="1"/>
  <c r="N47" i="68"/>
  <c r="O47" i="68" s="1"/>
  <c r="N48" i="68"/>
  <c r="O48" i="68" s="1"/>
  <c r="N15" i="68"/>
  <c r="O15" i="68" s="1"/>
  <c r="N50" i="68"/>
  <c r="O50" i="68" s="1"/>
  <c r="N17" i="68"/>
  <c r="O17" i="68" s="1"/>
  <c r="I44" i="68"/>
  <c r="AE44" i="68" s="1"/>
  <c r="I45" i="68"/>
  <c r="AE45" i="68" s="1"/>
  <c r="I46" i="68"/>
  <c r="AE46" i="68" s="1"/>
  <c r="I47" i="68"/>
  <c r="AE47" i="68" s="1"/>
  <c r="I48" i="68"/>
  <c r="AE48" i="68" s="1"/>
  <c r="I49" i="68"/>
  <c r="AE49" i="68" s="1"/>
  <c r="I15" i="68"/>
  <c r="AE15" i="68" s="1"/>
  <c r="I16" i="68"/>
  <c r="AE16" i="68" s="1"/>
  <c r="I50" i="68"/>
  <c r="AE50" i="68" s="1"/>
  <c r="I51" i="68"/>
  <c r="AE51" i="68" s="1"/>
  <c r="I17" i="68"/>
  <c r="AE17" i="68" s="1"/>
  <c r="I18" i="68"/>
  <c r="AE18" i="68" s="1"/>
  <c r="Q44" i="68"/>
  <c r="Q45" i="68"/>
  <c r="Q46" i="68"/>
  <c r="Q47" i="68"/>
  <c r="Q48" i="68"/>
  <c r="Q49" i="68"/>
  <c r="Q15" i="68"/>
  <c r="Q16" i="68"/>
  <c r="Q50" i="68"/>
  <c r="Q51" i="68"/>
  <c r="Q17" i="68"/>
  <c r="Q18" i="68"/>
  <c r="AC44" i="68"/>
  <c r="AD44" i="68"/>
  <c r="AF44" i="68"/>
  <c r="AG44" i="68"/>
  <c r="AC45" i="68"/>
  <c r="AD45" i="68"/>
  <c r="AF45" i="68"/>
  <c r="AG45" i="68"/>
  <c r="AC46" i="68"/>
  <c r="AD46" i="68"/>
  <c r="AF46" i="68"/>
  <c r="AG46" i="68"/>
  <c r="AC47" i="68"/>
  <c r="AD47" i="68"/>
  <c r="AF47" i="68"/>
  <c r="AG47" i="68"/>
  <c r="AC48" i="68"/>
  <c r="AD48" i="68"/>
  <c r="AF48" i="68"/>
  <c r="AG48" i="68"/>
  <c r="AC49" i="68"/>
  <c r="AD49" i="68"/>
  <c r="AF49" i="68"/>
  <c r="AG49" i="68"/>
  <c r="AC15" i="68"/>
  <c r="AD15" i="68"/>
  <c r="AF15" i="68"/>
  <c r="AG15" i="68"/>
  <c r="AC16" i="68"/>
  <c r="AD16" i="68"/>
  <c r="AF16" i="68"/>
  <c r="AG16" i="68"/>
  <c r="AC50" i="68"/>
  <c r="AD50" i="68"/>
  <c r="AF50" i="68"/>
  <c r="AG50" i="68"/>
  <c r="AC51" i="68"/>
  <c r="AD51" i="68"/>
  <c r="AF51" i="68"/>
  <c r="AG51" i="68"/>
  <c r="AC17" i="68"/>
  <c r="AD17" i="68"/>
  <c r="AF17" i="68"/>
  <c r="AG17" i="68"/>
  <c r="AC18" i="68"/>
  <c r="AD18" i="68"/>
  <c r="AF18" i="68"/>
  <c r="AG18" i="68"/>
  <c r="N18" i="68"/>
  <c r="O18" i="68" s="1"/>
  <c r="N51" i="68"/>
  <c r="O51" i="68" s="1"/>
  <c r="N49" i="68"/>
  <c r="O49" i="68" s="1"/>
  <c r="N45" i="68"/>
  <c r="O45" i="68" s="1"/>
  <c r="N20" i="32"/>
  <c r="G50" i="32" s="1"/>
  <c r="Y12" i="69"/>
  <c r="Y13" i="69"/>
  <c r="Y16" i="69"/>
  <c r="Y18" i="69"/>
  <c r="Y19" i="69"/>
  <c r="Y55" i="69"/>
  <c r="Y57" i="69"/>
  <c r="Y58" i="69"/>
  <c r="Y88" i="69"/>
  <c r="Y96" i="69"/>
  <c r="N12" i="32"/>
  <c r="S17" i="69"/>
  <c r="Y17" i="69" s="1"/>
  <c r="H17" i="24"/>
  <c r="O17" i="24" s="1"/>
  <c r="P17" i="24" s="1"/>
  <c r="H47" i="69"/>
  <c r="D47" i="69"/>
  <c r="C62" i="69"/>
  <c r="E62" i="69" s="1"/>
  <c r="I62" i="69" s="1"/>
  <c r="C63" i="3" s="1"/>
  <c r="C57" i="69"/>
  <c r="E57" i="69" s="1"/>
  <c r="I57" i="69" s="1"/>
  <c r="C58" i="3" s="1"/>
  <c r="C39" i="21"/>
  <c r="O39" i="21" s="1"/>
  <c r="C50" i="21"/>
  <c r="O50" i="21" s="1"/>
  <c r="C56" i="21"/>
  <c r="O56" i="21" s="1"/>
  <c r="C59" i="21"/>
  <c r="O59" i="21" s="1"/>
  <c r="C63" i="21"/>
  <c r="C84" i="21"/>
  <c r="O84" i="21" s="1"/>
  <c r="C87" i="21"/>
  <c r="C89" i="21"/>
  <c r="O89" i="21" s="1"/>
  <c r="C98" i="21"/>
  <c r="O98" i="21" s="1"/>
  <c r="H1" i="21"/>
  <c r="T14" i="2" s="1"/>
  <c r="O87" i="21"/>
  <c r="I19" i="68"/>
  <c r="AE19" i="68" s="1"/>
  <c r="N19" i="68"/>
  <c r="O19" i="68" s="1"/>
  <c r="AC19" i="68"/>
  <c r="AD19" i="68"/>
  <c r="AF19" i="68"/>
  <c r="AG19" i="68"/>
  <c r="I21" i="68"/>
  <c r="AE21" i="68" s="1"/>
  <c r="N21" i="68"/>
  <c r="O21" i="68" s="1"/>
  <c r="Q21" i="68"/>
  <c r="T21" i="68" s="1"/>
  <c r="AC21" i="68"/>
  <c r="AD21" i="68"/>
  <c r="AF21" i="68"/>
  <c r="AG21" i="68"/>
  <c r="I22" i="68"/>
  <c r="AE22" i="68" s="1"/>
  <c r="N22" i="68"/>
  <c r="O22" i="68" s="1"/>
  <c r="Q22" i="68"/>
  <c r="AC22" i="68"/>
  <c r="AD22" i="68"/>
  <c r="AF22" i="68"/>
  <c r="AG22" i="68"/>
  <c r="I23" i="68"/>
  <c r="AE23" i="68" s="1"/>
  <c r="N23" i="68"/>
  <c r="O23" i="68" s="1"/>
  <c r="Q23" i="68"/>
  <c r="AC23" i="68"/>
  <c r="AD23" i="68"/>
  <c r="AF23" i="68"/>
  <c r="AG23" i="68"/>
  <c r="I24" i="68"/>
  <c r="AE24" i="68" s="1"/>
  <c r="N24" i="68"/>
  <c r="O24" i="68" s="1"/>
  <c r="Q24" i="68"/>
  <c r="AC24" i="68"/>
  <c r="AD24" i="68"/>
  <c r="AF24" i="68"/>
  <c r="AG24" i="68"/>
  <c r="I52" i="68"/>
  <c r="AE52" i="68" s="1"/>
  <c r="N52" i="68"/>
  <c r="O52" i="68" s="1"/>
  <c r="Q52" i="68"/>
  <c r="AC52" i="68"/>
  <c r="AD52" i="68"/>
  <c r="AF52" i="68"/>
  <c r="AG52" i="68"/>
  <c r="I25" i="68"/>
  <c r="AE25" i="68" s="1"/>
  <c r="N25" i="68"/>
  <c r="Q25" i="68"/>
  <c r="AC25" i="68"/>
  <c r="AD25" i="68"/>
  <c r="AF25" i="68"/>
  <c r="AG25" i="68"/>
  <c r="I26" i="68"/>
  <c r="AE26" i="68" s="1"/>
  <c r="N26" i="68"/>
  <c r="O26" i="68" s="1"/>
  <c r="Q26" i="68"/>
  <c r="AC26" i="68"/>
  <c r="AD26" i="68"/>
  <c r="AF26" i="68"/>
  <c r="AG26" i="68"/>
  <c r="I27" i="68"/>
  <c r="AE27" i="68" s="1"/>
  <c r="N27" i="68"/>
  <c r="O27" i="68" s="1"/>
  <c r="Q27" i="68"/>
  <c r="AC27" i="68"/>
  <c r="AD27" i="68"/>
  <c r="AF27" i="68"/>
  <c r="AG27" i="68"/>
  <c r="I63" i="68"/>
  <c r="AE63" i="68" s="1"/>
  <c r="N63" i="68"/>
  <c r="Q63" i="68"/>
  <c r="Q68" i="68" s="1"/>
  <c r="AC63" i="68"/>
  <c r="AD63" i="68"/>
  <c r="AF63" i="68"/>
  <c r="AG63" i="68"/>
  <c r="L355" i="68"/>
  <c r="I71" i="68"/>
  <c r="AE71" i="68" s="1"/>
  <c r="N71" i="68"/>
  <c r="O71" i="68" s="1"/>
  <c r="Q71" i="68"/>
  <c r="AC71" i="68"/>
  <c r="AD71" i="68"/>
  <c r="AF71" i="68"/>
  <c r="AG71" i="68"/>
  <c r="I72" i="68"/>
  <c r="AE72" i="68" s="1"/>
  <c r="N72" i="68"/>
  <c r="O72" i="68" s="1"/>
  <c r="Q72" i="68"/>
  <c r="AC72" i="68"/>
  <c r="AD72" i="68"/>
  <c r="AF72" i="68"/>
  <c r="AG72" i="68"/>
  <c r="I73" i="68"/>
  <c r="AE73" i="68" s="1"/>
  <c r="N73" i="68"/>
  <c r="O73" i="68" s="1"/>
  <c r="Q73" i="68"/>
  <c r="AC73" i="68"/>
  <c r="AD73" i="68"/>
  <c r="AF73" i="68"/>
  <c r="AG73" i="68"/>
  <c r="I74" i="68"/>
  <c r="AE74" i="68" s="1"/>
  <c r="N74" i="68"/>
  <c r="O74" i="68" s="1"/>
  <c r="Q74" i="68"/>
  <c r="AC74" i="68"/>
  <c r="AD74" i="68"/>
  <c r="AF74" i="68"/>
  <c r="AG74" i="68"/>
  <c r="I75" i="68"/>
  <c r="AE75" i="68" s="1"/>
  <c r="N75" i="68"/>
  <c r="O75" i="68" s="1"/>
  <c r="Q75" i="68"/>
  <c r="AC75" i="68"/>
  <c r="AD75" i="68"/>
  <c r="AF75" i="68"/>
  <c r="AG75" i="68"/>
  <c r="I76" i="68"/>
  <c r="AE76" i="68" s="1"/>
  <c r="N76" i="68"/>
  <c r="O76" i="68" s="1"/>
  <c r="Q76" i="68"/>
  <c r="AC76" i="68"/>
  <c r="AD76" i="68"/>
  <c r="AF76" i="68"/>
  <c r="AG76" i="68"/>
  <c r="I77" i="68"/>
  <c r="AE77" i="68" s="1"/>
  <c r="N77" i="68"/>
  <c r="O77" i="68" s="1"/>
  <c r="Q77" i="68"/>
  <c r="AC77" i="68"/>
  <c r="AD77" i="68"/>
  <c r="AF77" i="68"/>
  <c r="AG77" i="68"/>
  <c r="I78" i="68"/>
  <c r="AE78" i="68" s="1"/>
  <c r="N78" i="68"/>
  <c r="O78" i="68" s="1"/>
  <c r="Q78" i="68"/>
  <c r="AC78" i="68"/>
  <c r="AD78" i="68"/>
  <c r="AF78" i="68"/>
  <c r="AG78" i="68"/>
  <c r="I79" i="68"/>
  <c r="AE79" i="68" s="1"/>
  <c r="N79" i="68"/>
  <c r="O79" i="68" s="1"/>
  <c r="Q79" i="68"/>
  <c r="AC79" i="68"/>
  <c r="AD79" i="68"/>
  <c r="AF79" i="68"/>
  <c r="AG79" i="68"/>
  <c r="I80" i="68"/>
  <c r="AE80" i="68" s="1"/>
  <c r="N80" i="68"/>
  <c r="O80" i="68" s="1"/>
  <c r="Q80" i="68"/>
  <c r="AC80" i="68"/>
  <c r="AD80" i="68"/>
  <c r="AF80" i="68"/>
  <c r="AG80" i="68"/>
  <c r="I81" i="68"/>
  <c r="AE81" i="68" s="1"/>
  <c r="N81" i="68"/>
  <c r="O81" i="68" s="1"/>
  <c r="Q81" i="68"/>
  <c r="AC81" i="68"/>
  <c r="AD81" i="68"/>
  <c r="AF81" i="68"/>
  <c r="AG81" i="68"/>
  <c r="I82" i="68"/>
  <c r="AE82" i="68" s="1"/>
  <c r="N82" i="68"/>
  <c r="O82" i="68" s="1"/>
  <c r="Q82" i="68"/>
  <c r="AC82" i="68"/>
  <c r="AD82" i="68"/>
  <c r="AF82" i="68"/>
  <c r="AG82" i="68"/>
  <c r="I83" i="68"/>
  <c r="AE83" i="68" s="1"/>
  <c r="N83" i="68"/>
  <c r="O83" i="68" s="1"/>
  <c r="Q83" i="68"/>
  <c r="AC83" i="68"/>
  <c r="AD83" i="68"/>
  <c r="AF83" i="68"/>
  <c r="AG83" i="68"/>
  <c r="I84" i="68"/>
  <c r="AE84" i="68" s="1"/>
  <c r="N84" i="68"/>
  <c r="O84" i="68" s="1"/>
  <c r="Q84" i="68"/>
  <c r="AC84" i="68"/>
  <c r="AD84" i="68"/>
  <c r="AF84" i="68"/>
  <c r="AG84" i="68"/>
  <c r="I85" i="68"/>
  <c r="AE85" i="68" s="1"/>
  <c r="N85" i="68"/>
  <c r="O85" i="68" s="1"/>
  <c r="Q85" i="68"/>
  <c r="AC85" i="68"/>
  <c r="AD85" i="68"/>
  <c r="AF85" i="68"/>
  <c r="AG85" i="68"/>
  <c r="I86" i="68"/>
  <c r="AE86" i="68" s="1"/>
  <c r="N86" i="68"/>
  <c r="O86" i="68" s="1"/>
  <c r="Q86" i="68"/>
  <c r="AC86" i="68"/>
  <c r="AD86" i="68"/>
  <c r="AF86" i="68"/>
  <c r="AG86" i="68"/>
  <c r="I87" i="68"/>
  <c r="AE87" i="68" s="1"/>
  <c r="N87" i="68"/>
  <c r="O87" i="68" s="1"/>
  <c r="Q87" i="68"/>
  <c r="AC87" i="68"/>
  <c r="AD87" i="68"/>
  <c r="AF87" i="68"/>
  <c r="AG87" i="68"/>
  <c r="I88" i="68"/>
  <c r="AE88" i="68" s="1"/>
  <c r="N88" i="68"/>
  <c r="O88" i="68" s="1"/>
  <c r="Q88" i="68"/>
  <c r="AC88" i="68"/>
  <c r="AD88" i="68"/>
  <c r="AF88" i="68"/>
  <c r="AG88" i="68"/>
  <c r="I89" i="68"/>
  <c r="AE89" i="68" s="1"/>
  <c r="N89" i="68"/>
  <c r="O89" i="68" s="1"/>
  <c r="Q89" i="68"/>
  <c r="AC89" i="68"/>
  <c r="AD89" i="68"/>
  <c r="AF89" i="68"/>
  <c r="AG89" i="68"/>
  <c r="I90" i="68"/>
  <c r="AE90" i="68" s="1"/>
  <c r="N90" i="68"/>
  <c r="O90" i="68" s="1"/>
  <c r="Q90" i="68"/>
  <c r="AC90" i="68"/>
  <c r="AD90" i="68"/>
  <c r="AF90" i="68"/>
  <c r="AG90" i="68"/>
  <c r="I91" i="68"/>
  <c r="AE91" i="68" s="1"/>
  <c r="N91" i="68"/>
  <c r="O91" i="68" s="1"/>
  <c r="Q91" i="68"/>
  <c r="AC91" i="68"/>
  <c r="AD91" i="68"/>
  <c r="AF91" i="68"/>
  <c r="AG91" i="68"/>
  <c r="I92" i="68"/>
  <c r="AE92" i="68" s="1"/>
  <c r="N92" i="68"/>
  <c r="O92" i="68" s="1"/>
  <c r="Q92" i="68"/>
  <c r="AC92" i="68"/>
  <c r="AD92" i="68"/>
  <c r="AF92" i="68"/>
  <c r="AG92" i="68"/>
  <c r="I93" i="68"/>
  <c r="AE93" i="68" s="1"/>
  <c r="N93" i="68"/>
  <c r="O93" i="68" s="1"/>
  <c r="Q93" i="68"/>
  <c r="AC93" i="68"/>
  <c r="AD93" i="68"/>
  <c r="AF93" i="68"/>
  <c r="AG93" i="68"/>
  <c r="I94" i="68"/>
  <c r="AE94" i="68" s="1"/>
  <c r="N94" i="68"/>
  <c r="O94" i="68" s="1"/>
  <c r="Q94" i="68"/>
  <c r="AC94" i="68"/>
  <c r="AD94" i="68"/>
  <c r="AF94" i="68"/>
  <c r="AG94" i="68"/>
  <c r="I95" i="68"/>
  <c r="AE95" i="68" s="1"/>
  <c r="N95" i="68"/>
  <c r="O95" i="68" s="1"/>
  <c r="Q95" i="68"/>
  <c r="AC95" i="68"/>
  <c r="AD95" i="68"/>
  <c r="AF95" i="68"/>
  <c r="AG95" i="68"/>
  <c r="I96" i="68"/>
  <c r="AE96" i="68" s="1"/>
  <c r="N96" i="68"/>
  <c r="O96" i="68" s="1"/>
  <c r="Q96" i="68"/>
  <c r="AC96" i="68"/>
  <c r="AD96" i="68"/>
  <c r="AF96" i="68"/>
  <c r="AG96" i="68"/>
  <c r="I97" i="68"/>
  <c r="AE97" i="68" s="1"/>
  <c r="N97" i="68"/>
  <c r="O97" i="68" s="1"/>
  <c r="Q97" i="68"/>
  <c r="AC97" i="68"/>
  <c r="AD97" i="68"/>
  <c r="AF97" i="68"/>
  <c r="AG97" i="68"/>
  <c r="I98" i="68"/>
  <c r="AE98" i="68" s="1"/>
  <c r="N98" i="68"/>
  <c r="O98" i="68" s="1"/>
  <c r="Q98" i="68"/>
  <c r="AC98" i="68"/>
  <c r="AD98" i="68"/>
  <c r="AF98" i="68"/>
  <c r="AG98" i="68"/>
  <c r="I99" i="68"/>
  <c r="AE99" i="68" s="1"/>
  <c r="N99" i="68"/>
  <c r="O99" i="68" s="1"/>
  <c r="Q99" i="68"/>
  <c r="AC99" i="68"/>
  <c r="AD99" i="68"/>
  <c r="AF99" i="68"/>
  <c r="AG99" i="68"/>
  <c r="I100" i="68"/>
  <c r="AE100" i="68" s="1"/>
  <c r="N100" i="68"/>
  <c r="O100" i="68" s="1"/>
  <c r="Q100" i="68"/>
  <c r="AC100" i="68"/>
  <c r="AD100" i="68"/>
  <c r="AF100" i="68"/>
  <c r="AG100" i="68"/>
  <c r="I101" i="68"/>
  <c r="AE101" i="68" s="1"/>
  <c r="N101" i="68"/>
  <c r="O101" i="68" s="1"/>
  <c r="Q101" i="68"/>
  <c r="AC101" i="68"/>
  <c r="AD101" i="68"/>
  <c r="AF101" i="68"/>
  <c r="AG101" i="68"/>
  <c r="I102" i="68"/>
  <c r="AE102" i="68" s="1"/>
  <c r="N102" i="68"/>
  <c r="O102" i="68" s="1"/>
  <c r="Q102" i="68"/>
  <c r="AC102" i="68"/>
  <c r="AD102" i="68"/>
  <c r="AF102" i="68"/>
  <c r="AG102" i="68"/>
  <c r="I103" i="68"/>
  <c r="AE103" i="68" s="1"/>
  <c r="N103" i="68"/>
  <c r="O103" i="68" s="1"/>
  <c r="Q103" i="68"/>
  <c r="AC103" i="68"/>
  <c r="AD103" i="68"/>
  <c r="AF103" i="68"/>
  <c r="AG103" i="68"/>
  <c r="I104" i="68"/>
  <c r="AE104" i="68" s="1"/>
  <c r="N104" i="68"/>
  <c r="O104" i="68" s="1"/>
  <c r="Q104" i="68"/>
  <c r="AC104" i="68"/>
  <c r="AD104" i="68"/>
  <c r="AF104" i="68"/>
  <c r="AG104" i="68"/>
  <c r="I105" i="68"/>
  <c r="AE105" i="68" s="1"/>
  <c r="N105" i="68"/>
  <c r="O105" i="68" s="1"/>
  <c r="Q105" i="68"/>
  <c r="AC105" i="68"/>
  <c r="AD105" i="68"/>
  <c r="AF105" i="68"/>
  <c r="AG105" i="68"/>
  <c r="I106" i="68"/>
  <c r="AE106" i="68" s="1"/>
  <c r="N106" i="68"/>
  <c r="O106" i="68" s="1"/>
  <c r="Q106" i="68"/>
  <c r="AC106" i="68"/>
  <c r="AD106" i="68"/>
  <c r="AF106" i="68"/>
  <c r="AG106" i="68"/>
  <c r="I107" i="68"/>
  <c r="AE107" i="68" s="1"/>
  <c r="N107" i="68"/>
  <c r="O107" i="68" s="1"/>
  <c r="Q107" i="68"/>
  <c r="AC107" i="68"/>
  <c r="AD107" i="68"/>
  <c r="AF107" i="68"/>
  <c r="AG107" i="68"/>
  <c r="I108" i="68"/>
  <c r="AE108" i="68" s="1"/>
  <c r="N108" i="68"/>
  <c r="O108" i="68" s="1"/>
  <c r="Q108" i="68"/>
  <c r="AC108" i="68"/>
  <c r="AD108" i="68"/>
  <c r="AF108" i="68"/>
  <c r="AG108" i="68"/>
  <c r="I109" i="68"/>
  <c r="AE109" i="68" s="1"/>
  <c r="N109" i="68"/>
  <c r="O109" i="68" s="1"/>
  <c r="Q109" i="68"/>
  <c r="AC109" i="68"/>
  <c r="AD109" i="68"/>
  <c r="AF109" i="68"/>
  <c r="AG109" i="68"/>
  <c r="I110" i="68"/>
  <c r="AE110" i="68" s="1"/>
  <c r="N110" i="68"/>
  <c r="O110" i="68" s="1"/>
  <c r="Q110" i="68"/>
  <c r="AC110" i="68"/>
  <c r="AD110" i="68"/>
  <c r="AF110" i="68"/>
  <c r="AG110" i="68"/>
  <c r="I111" i="68"/>
  <c r="AE111" i="68" s="1"/>
  <c r="N111" i="68"/>
  <c r="O111" i="68" s="1"/>
  <c r="Q111" i="68"/>
  <c r="AC111" i="68"/>
  <c r="AD111" i="68"/>
  <c r="AF111" i="68"/>
  <c r="AG111" i="68"/>
  <c r="I112" i="68"/>
  <c r="AE112" i="68" s="1"/>
  <c r="N112" i="68"/>
  <c r="O112" i="68" s="1"/>
  <c r="Q112" i="68"/>
  <c r="AC112" i="68"/>
  <c r="AD112" i="68"/>
  <c r="AF112" i="68"/>
  <c r="AG112" i="68"/>
  <c r="I113" i="68"/>
  <c r="AE113" i="68" s="1"/>
  <c r="N113" i="68"/>
  <c r="O113" i="68" s="1"/>
  <c r="Q113" i="68"/>
  <c r="AC113" i="68"/>
  <c r="AD113" i="68"/>
  <c r="AF113" i="68"/>
  <c r="AG113" i="68"/>
  <c r="I114" i="68"/>
  <c r="AE114" i="68" s="1"/>
  <c r="N114" i="68"/>
  <c r="O114" i="68" s="1"/>
  <c r="Q114" i="68"/>
  <c r="AC114" i="68"/>
  <c r="AD114" i="68"/>
  <c r="AF114" i="68"/>
  <c r="AG114" i="68"/>
  <c r="I115" i="68"/>
  <c r="AE115" i="68" s="1"/>
  <c r="N115" i="68"/>
  <c r="O115" i="68" s="1"/>
  <c r="Q115" i="68"/>
  <c r="AC115" i="68"/>
  <c r="AD115" i="68"/>
  <c r="AF115" i="68"/>
  <c r="AG115" i="68"/>
  <c r="I116" i="68"/>
  <c r="AE116" i="68" s="1"/>
  <c r="N116" i="68"/>
  <c r="O116" i="68" s="1"/>
  <c r="Q116" i="68"/>
  <c r="AC116" i="68"/>
  <c r="AD116" i="68"/>
  <c r="AF116" i="68"/>
  <c r="AG116" i="68"/>
  <c r="I117" i="68"/>
  <c r="AE117" i="68" s="1"/>
  <c r="N117" i="68"/>
  <c r="O117" i="68" s="1"/>
  <c r="Q117" i="68"/>
  <c r="AC117" i="68"/>
  <c r="AD117" i="68"/>
  <c r="AF117" i="68"/>
  <c r="AG117" i="68"/>
  <c r="I118" i="68"/>
  <c r="AE118" i="68" s="1"/>
  <c r="N118" i="68"/>
  <c r="O118" i="68" s="1"/>
  <c r="Q118" i="68"/>
  <c r="AC118" i="68"/>
  <c r="AD118" i="68"/>
  <c r="AF118" i="68"/>
  <c r="AG118" i="68"/>
  <c r="I119" i="68"/>
  <c r="AE119" i="68" s="1"/>
  <c r="N119" i="68"/>
  <c r="O119" i="68" s="1"/>
  <c r="Q119" i="68"/>
  <c r="AC119" i="68"/>
  <c r="AD119" i="68"/>
  <c r="AF119" i="68"/>
  <c r="AG119" i="68"/>
  <c r="I120" i="68"/>
  <c r="AE120" i="68" s="1"/>
  <c r="N120" i="68"/>
  <c r="O120" i="68" s="1"/>
  <c r="Q120" i="68"/>
  <c r="AC120" i="68"/>
  <c r="AD120" i="68"/>
  <c r="AF120" i="68"/>
  <c r="AG120" i="68"/>
  <c r="I121" i="68"/>
  <c r="AE121" i="68" s="1"/>
  <c r="N121" i="68"/>
  <c r="O121" i="68" s="1"/>
  <c r="Q121" i="68"/>
  <c r="AC121" i="68"/>
  <c r="AD121" i="68"/>
  <c r="AF121" i="68"/>
  <c r="AG121" i="68"/>
  <c r="I122" i="68"/>
  <c r="AE122" i="68" s="1"/>
  <c r="N122" i="68"/>
  <c r="O122" i="68" s="1"/>
  <c r="Q122" i="68"/>
  <c r="AC122" i="68"/>
  <c r="AD122" i="68"/>
  <c r="AF122" i="68"/>
  <c r="AG122" i="68"/>
  <c r="I123" i="68"/>
  <c r="AE123" i="68" s="1"/>
  <c r="N123" i="68"/>
  <c r="O123" i="68" s="1"/>
  <c r="Q123" i="68"/>
  <c r="AC123" i="68"/>
  <c r="AD123" i="68"/>
  <c r="AF123" i="68"/>
  <c r="AG123" i="68"/>
  <c r="I124" i="68"/>
  <c r="AE124" i="68" s="1"/>
  <c r="N124" i="68"/>
  <c r="O124" i="68" s="1"/>
  <c r="Q124" i="68"/>
  <c r="AC124" i="68"/>
  <c r="AD124" i="68"/>
  <c r="AF124" i="68"/>
  <c r="AG124" i="68"/>
  <c r="I125" i="68"/>
  <c r="AE125" i="68" s="1"/>
  <c r="N125" i="68"/>
  <c r="O125" i="68" s="1"/>
  <c r="Q125" i="68"/>
  <c r="AC125" i="68"/>
  <c r="AD125" i="68"/>
  <c r="AF125" i="68"/>
  <c r="AG125" i="68"/>
  <c r="I126" i="68"/>
  <c r="AE126" i="68" s="1"/>
  <c r="N126" i="68"/>
  <c r="O126" i="68" s="1"/>
  <c r="Q126" i="68"/>
  <c r="AC126" i="68"/>
  <c r="AD126" i="68"/>
  <c r="AF126" i="68"/>
  <c r="AG126" i="68"/>
  <c r="I127" i="68"/>
  <c r="AE127" i="68" s="1"/>
  <c r="N127" i="68"/>
  <c r="O127" i="68" s="1"/>
  <c r="Q127" i="68"/>
  <c r="AC127" i="68"/>
  <c r="AD127" i="68"/>
  <c r="AF127" i="68"/>
  <c r="AG127" i="68"/>
  <c r="I128" i="68"/>
  <c r="AE128" i="68" s="1"/>
  <c r="N128" i="68"/>
  <c r="O128" i="68" s="1"/>
  <c r="Q128" i="68"/>
  <c r="AC128" i="68"/>
  <c r="AD128" i="68"/>
  <c r="AF128" i="68"/>
  <c r="AG128" i="68"/>
  <c r="I129" i="68"/>
  <c r="AE129" i="68" s="1"/>
  <c r="N129" i="68"/>
  <c r="O129" i="68" s="1"/>
  <c r="Q129" i="68"/>
  <c r="AC129" i="68"/>
  <c r="AD129" i="68"/>
  <c r="AF129" i="68"/>
  <c r="AG129" i="68"/>
  <c r="I130" i="68"/>
  <c r="AE130" i="68" s="1"/>
  <c r="N130" i="68"/>
  <c r="O130" i="68" s="1"/>
  <c r="Q130" i="68"/>
  <c r="AC130" i="68"/>
  <c r="AD130" i="68"/>
  <c r="AF130" i="68"/>
  <c r="AG130" i="68"/>
  <c r="I131" i="68"/>
  <c r="AE131" i="68" s="1"/>
  <c r="N131" i="68"/>
  <c r="O131" i="68" s="1"/>
  <c r="Q131" i="68"/>
  <c r="AC131" i="68"/>
  <c r="AD131" i="68"/>
  <c r="AF131" i="68"/>
  <c r="AG131" i="68"/>
  <c r="I132" i="68"/>
  <c r="AE132" i="68" s="1"/>
  <c r="N132" i="68"/>
  <c r="O132" i="68" s="1"/>
  <c r="Q132" i="68"/>
  <c r="AC132" i="68"/>
  <c r="AD132" i="68"/>
  <c r="AF132" i="68"/>
  <c r="AG132" i="68"/>
  <c r="I133" i="68"/>
  <c r="AE133" i="68" s="1"/>
  <c r="N133" i="68"/>
  <c r="O133" i="68" s="1"/>
  <c r="Q133" i="68"/>
  <c r="AC133" i="68"/>
  <c r="AD133" i="68"/>
  <c r="AF133" i="68"/>
  <c r="AG133" i="68"/>
  <c r="I134" i="68"/>
  <c r="AE134" i="68" s="1"/>
  <c r="N134" i="68"/>
  <c r="O134" i="68" s="1"/>
  <c r="Q134" i="68"/>
  <c r="AC134" i="68"/>
  <c r="AD134" i="68"/>
  <c r="AF134" i="68"/>
  <c r="AG134" i="68"/>
  <c r="I135" i="68"/>
  <c r="AE135" i="68" s="1"/>
  <c r="N135" i="68"/>
  <c r="O135" i="68" s="1"/>
  <c r="Q135" i="68"/>
  <c r="AC135" i="68"/>
  <c r="AD135" i="68"/>
  <c r="AF135" i="68"/>
  <c r="AG135" i="68"/>
  <c r="I136" i="68"/>
  <c r="AE136" i="68" s="1"/>
  <c r="N136" i="68"/>
  <c r="O136" i="68" s="1"/>
  <c r="Q136" i="68"/>
  <c r="AC136" i="68"/>
  <c r="AD136" i="68"/>
  <c r="AF136" i="68"/>
  <c r="AG136" i="68"/>
  <c r="I137" i="68"/>
  <c r="AE137" i="68" s="1"/>
  <c r="N137" i="68"/>
  <c r="O137" i="68" s="1"/>
  <c r="Q137" i="68"/>
  <c r="AC137" i="68"/>
  <c r="AD137" i="68"/>
  <c r="AF137" i="68"/>
  <c r="AG137" i="68"/>
  <c r="I138" i="68"/>
  <c r="AE138" i="68" s="1"/>
  <c r="N138" i="68"/>
  <c r="O138" i="68" s="1"/>
  <c r="Q138" i="68"/>
  <c r="AC138" i="68"/>
  <c r="AD138" i="68"/>
  <c r="AF138" i="68"/>
  <c r="AG138" i="68"/>
  <c r="I139" i="68"/>
  <c r="AE139" i="68" s="1"/>
  <c r="N139" i="68"/>
  <c r="O139" i="68" s="1"/>
  <c r="Q139" i="68"/>
  <c r="AC139" i="68"/>
  <c r="AD139" i="68"/>
  <c r="AF139" i="68"/>
  <c r="AG139" i="68"/>
  <c r="I140" i="68"/>
  <c r="AE140" i="68" s="1"/>
  <c r="N140" i="68"/>
  <c r="O140" i="68" s="1"/>
  <c r="Q140" i="68"/>
  <c r="AC140" i="68"/>
  <c r="AD140" i="68"/>
  <c r="AF140" i="68"/>
  <c r="AG140" i="68"/>
  <c r="I141" i="68"/>
  <c r="AE141" i="68" s="1"/>
  <c r="N141" i="68"/>
  <c r="O141" i="68" s="1"/>
  <c r="Q141" i="68"/>
  <c r="AC141" i="68"/>
  <c r="AD141" i="68"/>
  <c r="AF141" i="68"/>
  <c r="AG141" i="68"/>
  <c r="I142" i="68"/>
  <c r="AE142" i="68" s="1"/>
  <c r="N142" i="68"/>
  <c r="O142" i="68" s="1"/>
  <c r="Q142" i="68"/>
  <c r="AC142" i="68"/>
  <c r="AD142" i="68"/>
  <c r="AF142" i="68"/>
  <c r="AG142" i="68"/>
  <c r="I143" i="68"/>
  <c r="AE143" i="68" s="1"/>
  <c r="N143" i="68"/>
  <c r="O143" i="68" s="1"/>
  <c r="Q143" i="68"/>
  <c r="AC143" i="68"/>
  <c r="AD143" i="68"/>
  <c r="AF143" i="68"/>
  <c r="AG143" i="68"/>
  <c r="I144" i="68"/>
  <c r="AE144" i="68" s="1"/>
  <c r="N144" i="68"/>
  <c r="O144" i="68" s="1"/>
  <c r="Q144" i="68"/>
  <c r="AC144" i="68"/>
  <c r="AD144" i="68"/>
  <c r="AF144" i="68"/>
  <c r="AG144" i="68"/>
  <c r="I145" i="68"/>
  <c r="AE145" i="68" s="1"/>
  <c r="N145" i="68"/>
  <c r="O145" i="68" s="1"/>
  <c r="Q145" i="68"/>
  <c r="AC145" i="68"/>
  <c r="AD145" i="68"/>
  <c r="AF145" i="68"/>
  <c r="AG145" i="68"/>
  <c r="I146" i="68"/>
  <c r="AE146" i="68" s="1"/>
  <c r="N146" i="68"/>
  <c r="O146" i="68" s="1"/>
  <c r="Q146" i="68"/>
  <c r="AC146" i="68"/>
  <c r="AD146" i="68"/>
  <c r="AF146" i="68"/>
  <c r="AG146" i="68"/>
  <c r="I147" i="68"/>
  <c r="AE147" i="68" s="1"/>
  <c r="N147" i="68"/>
  <c r="O147" i="68" s="1"/>
  <c r="Q147" i="68"/>
  <c r="AC147" i="68"/>
  <c r="AD147" i="68"/>
  <c r="AF147" i="68"/>
  <c r="AG147" i="68"/>
  <c r="I148" i="68"/>
  <c r="AE148" i="68" s="1"/>
  <c r="N148" i="68"/>
  <c r="O148" i="68" s="1"/>
  <c r="Q148" i="68"/>
  <c r="AC148" i="68"/>
  <c r="AD148" i="68"/>
  <c r="AF148" i="68"/>
  <c r="AG148" i="68"/>
  <c r="I149" i="68"/>
  <c r="AE149" i="68" s="1"/>
  <c r="N149" i="68"/>
  <c r="O149" i="68" s="1"/>
  <c r="Q149" i="68"/>
  <c r="AC149" i="68"/>
  <c r="AD149" i="68"/>
  <c r="AF149" i="68"/>
  <c r="AG149" i="68"/>
  <c r="I150" i="68"/>
  <c r="AE150" i="68" s="1"/>
  <c r="N150" i="68"/>
  <c r="O150" i="68" s="1"/>
  <c r="Q150" i="68"/>
  <c r="AC150" i="68"/>
  <c r="AD150" i="68"/>
  <c r="AF150" i="68"/>
  <c r="AG150" i="68"/>
  <c r="I151" i="68"/>
  <c r="AE151" i="68" s="1"/>
  <c r="N151" i="68"/>
  <c r="O151" i="68" s="1"/>
  <c r="Q151" i="68"/>
  <c r="AC151" i="68"/>
  <c r="AD151" i="68"/>
  <c r="AF151" i="68"/>
  <c r="AG151" i="68"/>
  <c r="I152" i="68"/>
  <c r="AE152" i="68" s="1"/>
  <c r="N152" i="68"/>
  <c r="O152" i="68" s="1"/>
  <c r="Q152" i="68"/>
  <c r="AC152" i="68"/>
  <c r="AD152" i="68"/>
  <c r="AF152" i="68"/>
  <c r="AG152" i="68"/>
  <c r="I153" i="68"/>
  <c r="AE153" i="68" s="1"/>
  <c r="N153" i="68"/>
  <c r="O153" i="68" s="1"/>
  <c r="Q153" i="68"/>
  <c r="AC153" i="68"/>
  <c r="AD153" i="68"/>
  <c r="AF153" i="68"/>
  <c r="AG153" i="68"/>
  <c r="I154" i="68"/>
  <c r="AE154" i="68" s="1"/>
  <c r="N154" i="68"/>
  <c r="O154" i="68" s="1"/>
  <c r="Q154" i="68"/>
  <c r="AC154" i="68"/>
  <c r="AD154" i="68"/>
  <c r="AF154" i="68"/>
  <c r="AG154" i="68"/>
  <c r="I155" i="68"/>
  <c r="AE155" i="68" s="1"/>
  <c r="N155" i="68"/>
  <c r="O155" i="68" s="1"/>
  <c r="Q155" i="68"/>
  <c r="AC155" i="68"/>
  <c r="AD155" i="68"/>
  <c r="AF155" i="68"/>
  <c r="AG155" i="68"/>
  <c r="I156" i="68"/>
  <c r="AE156" i="68" s="1"/>
  <c r="N156" i="68"/>
  <c r="O156" i="68" s="1"/>
  <c r="Q156" i="68"/>
  <c r="AC156" i="68"/>
  <c r="AD156" i="68"/>
  <c r="AF156" i="68"/>
  <c r="AG156" i="68"/>
  <c r="I157" i="68"/>
  <c r="AE157" i="68" s="1"/>
  <c r="N157" i="68"/>
  <c r="O157" i="68" s="1"/>
  <c r="Q157" i="68"/>
  <c r="AC157" i="68"/>
  <c r="AD157" i="68"/>
  <c r="AF157" i="68"/>
  <c r="AG157" i="68"/>
  <c r="I158" i="68"/>
  <c r="AE158" i="68" s="1"/>
  <c r="N158" i="68"/>
  <c r="O158" i="68" s="1"/>
  <c r="Q158" i="68"/>
  <c r="AC158" i="68"/>
  <c r="AD158" i="68"/>
  <c r="AF158" i="68"/>
  <c r="AG158" i="68"/>
  <c r="I159" i="68"/>
  <c r="AE159" i="68" s="1"/>
  <c r="N159" i="68"/>
  <c r="O159" i="68" s="1"/>
  <c r="Q159" i="68"/>
  <c r="AC159" i="68"/>
  <c r="AD159" i="68"/>
  <c r="AF159" i="68"/>
  <c r="AG159" i="68"/>
  <c r="I160" i="68"/>
  <c r="AE160" i="68" s="1"/>
  <c r="N160" i="68"/>
  <c r="O160" i="68" s="1"/>
  <c r="Q160" i="68"/>
  <c r="AC160" i="68"/>
  <c r="AD160" i="68"/>
  <c r="AF160" i="68"/>
  <c r="AG160" i="68"/>
  <c r="I161" i="68"/>
  <c r="AE161" i="68" s="1"/>
  <c r="N161" i="68"/>
  <c r="O161" i="68" s="1"/>
  <c r="Q161" i="68"/>
  <c r="AC161" i="68"/>
  <c r="AD161" i="68"/>
  <c r="AF161" i="68"/>
  <c r="AG161" i="68"/>
  <c r="I162" i="68"/>
  <c r="AE162" i="68" s="1"/>
  <c r="N162" i="68"/>
  <c r="O162" i="68" s="1"/>
  <c r="Q162" i="68"/>
  <c r="AC162" i="68"/>
  <c r="AD162" i="68"/>
  <c r="AF162" i="68"/>
  <c r="AG162" i="68"/>
  <c r="I163" i="68"/>
  <c r="AE163" i="68" s="1"/>
  <c r="N163" i="68"/>
  <c r="O163" i="68" s="1"/>
  <c r="Q163" i="68"/>
  <c r="AC163" i="68"/>
  <c r="AD163" i="68"/>
  <c r="AF163" i="68"/>
  <c r="AG163" i="68"/>
  <c r="I164" i="68"/>
  <c r="AE164" i="68" s="1"/>
  <c r="N164" i="68"/>
  <c r="O164" i="68" s="1"/>
  <c r="Q164" i="68"/>
  <c r="AC164" i="68"/>
  <c r="AD164" i="68"/>
  <c r="AF164" i="68"/>
  <c r="AG164" i="68"/>
  <c r="I165" i="68"/>
  <c r="AE165" i="68" s="1"/>
  <c r="N165" i="68"/>
  <c r="O165" i="68" s="1"/>
  <c r="Q165" i="68"/>
  <c r="AC165" i="68"/>
  <c r="AD165" i="68"/>
  <c r="AF165" i="68"/>
  <c r="AG165" i="68"/>
  <c r="I166" i="68"/>
  <c r="AE166" i="68" s="1"/>
  <c r="N166" i="68"/>
  <c r="O166" i="68" s="1"/>
  <c r="Q166" i="68"/>
  <c r="AC166" i="68"/>
  <c r="AD166" i="68"/>
  <c r="AF166" i="68"/>
  <c r="AG166" i="68"/>
  <c r="I167" i="68"/>
  <c r="AE167" i="68" s="1"/>
  <c r="N167" i="68"/>
  <c r="O167" i="68" s="1"/>
  <c r="Q167" i="68"/>
  <c r="AC167" i="68"/>
  <c r="AD167" i="68"/>
  <c r="AF167" i="68"/>
  <c r="AG167" i="68"/>
  <c r="I168" i="68"/>
  <c r="AE168" i="68" s="1"/>
  <c r="N168" i="68"/>
  <c r="O168" i="68" s="1"/>
  <c r="Q168" i="68"/>
  <c r="AC168" i="68"/>
  <c r="AD168" i="68"/>
  <c r="AF168" i="68"/>
  <c r="AG168" i="68"/>
  <c r="I169" i="68"/>
  <c r="AE169" i="68" s="1"/>
  <c r="N169" i="68"/>
  <c r="O169" i="68" s="1"/>
  <c r="Q169" i="68"/>
  <c r="AC169" i="68"/>
  <c r="AD169" i="68"/>
  <c r="AF169" i="68"/>
  <c r="AG169" i="68"/>
  <c r="I170" i="68"/>
  <c r="AE170" i="68" s="1"/>
  <c r="N170" i="68"/>
  <c r="O170" i="68" s="1"/>
  <c r="Q170" i="68"/>
  <c r="AC170" i="68"/>
  <c r="AD170" i="68"/>
  <c r="AF170" i="68"/>
  <c r="AG170" i="68"/>
  <c r="I171" i="68"/>
  <c r="AE171" i="68" s="1"/>
  <c r="N171" i="68"/>
  <c r="O171" i="68" s="1"/>
  <c r="Q171" i="68"/>
  <c r="AC171" i="68"/>
  <c r="AD171" i="68"/>
  <c r="AF171" i="68"/>
  <c r="AG171" i="68"/>
  <c r="I172" i="68"/>
  <c r="AE172" i="68" s="1"/>
  <c r="N172" i="68"/>
  <c r="O172" i="68" s="1"/>
  <c r="Q172" i="68"/>
  <c r="AC172" i="68"/>
  <c r="AD172" i="68"/>
  <c r="AF172" i="68"/>
  <c r="AG172" i="68"/>
  <c r="I173" i="68"/>
  <c r="AE173" i="68" s="1"/>
  <c r="N173" i="68"/>
  <c r="O173" i="68" s="1"/>
  <c r="Q173" i="68"/>
  <c r="AC173" i="68"/>
  <c r="AD173" i="68"/>
  <c r="AF173" i="68"/>
  <c r="AG173" i="68"/>
  <c r="I174" i="68"/>
  <c r="AE174" i="68" s="1"/>
  <c r="N174" i="68"/>
  <c r="O174" i="68" s="1"/>
  <c r="Q174" i="68"/>
  <c r="AC174" i="68"/>
  <c r="AD174" i="68"/>
  <c r="AF174" i="68"/>
  <c r="AG174" i="68"/>
  <c r="I175" i="68"/>
  <c r="AE175" i="68" s="1"/>
  <c r="N175" i="68"/>
  <c r="O175" i="68" s="1"/>
  <c r="Q175" i="68"/>
  <c r="AC175" i="68"/>
  <c r="AD175" i="68"/>
  <c r="AF175" i="68"/>
  <c r="AG175" i="68"/>
  <c r="I176" i="68"/>
  <c r="AE176" i="68" s="1"/>
  <c r="N176" i="68"/>
  <c r="O176" i="68" s="1"/>
  <c r="Q176" i="68"/>
  <c r="AC176" i="68"/>
  <c r="AD176" i="68"/>
  <c r="AF176" i="68"/>
  <c r="AG176" i="68"/>
  <c r="I177" i="68"/>
  <c r="AE177" i="68" s="1"/>
  <c r="N177" i="68"/>
  <c r="O177" i="68" s="1"/>
  <c r="Q177" i="68"/>
  <c r="AC177" i="68"/>
  <c r="AD177" i="68"/>
  <c r="AF177" i="68"/>
  <c r="AG177" i="68"/>
  <c r="I178" i="68"/>
  <c r="AE178" i="68" s="1"/>
  <c r="N178" i="68"/>
  <c r="O178" i="68" s="1"/>
  <c r="Q178" i="68"/>
  <c r="AC178" i="68"/>
  <c r="AD178" i="68"/>
  <c r="AF178" i="68"/>
  <c r="AG178" i="68"/>
  <c r="I179" i="68"/>
  <c r="AE179" i="68" s="1"/>
  <c r="N179" i="68"/>
  <c r="O179" i="68" s="1"/>
  <c r="Q179" i="68"/>
  <c r="AC179" i="68"/>
  <c r="AD179" i="68"/>
  <c r="AF179" i="68"/>
  <c r="AG179" i="68"/>
  <c r="I180" i="68"/>
  <c r="AE180" i="68" s="1"/>
  <c r="N180" i="68"/>
  <c r="O180" i="68" s="1"/>
  <c r="Q180" i="68"/>
  <c r="AC180" i="68"/>
  <c r="AD180" i="68"/>
  <c r="AF180" i="68"/>
  <c r="AG180" i="68"/>
  <c r="I181" i="68"/>
  <c r="AE181" i="68" s="1"/>
  <c r="N181" i="68"/>
  <c r="O181" i="68" s="1"/>
  <c r="Q181" i="68"/>
  <c r="AC181" i="68"/>
  <c r="AD181" i="68"/>
  <c r="AF181" i="68"/>
  <c r="AG181" i="68"/>
  <c r="I201" i="68"/>
  <c r="AE201" i="68" s="1"/>
  <c r="N201" i="68"/>
  <c r="Q201" i="68"/>
  <c r="AC201" i="68"/>
  <c r="AD201" i="68"/>
  <c r="AF201" i="68"/>
  <c r="AG201" i="68"/>
  <c r="L203" i="68"/>
  <c r="I206" i="68"/>
  <c r="AE206" i="68" s="1"/>
  <c r="N206" i="68"/>
  <c r="O206" i="68" s="1"/>
  <c r="Q206" i="68"/>
  <c r="AC206" i="68"/>
  <c r="AD206" i="68"/>
  <c r="AF206" i="68"/>
  <c r="AG206" i="68"/>
  <c r="I207" i="68"/>
  <c r="AE207" i="68" s="1"/>
  <c r="N207" i="68"/>
  <c r="O207" i="68" s="1"/>
  <c r="Q207" i="68"/>
  <c r="AC207" i="68"/>
  <c r="AD207" i="68"/>
  <c r="AF207" i="68"/>
  <c r="AG207" i="68"/>
  <c r="I208" i="68"/>
  <c r="AE208" i="68" s="1"/>
  <c r="N208" i="68"/>
  <c r="O208" i="68" s="1"/>
  <c r="Q208" i="68"/>
  <c r="T208" i="68" s="1"/>
  <c r="AC208" i="68"/>
  <c r="AD208" i="68"/>
  <c r="AF208" i="68"/>
  <c r="AG208" i="68"/>
  <c r="I209" i="68"/>
  <c r="AE209" i="68" s="1"/>
  <c r="N209" i="68"/>
  <c r="O209" i="68" s="1"/>
  <c r="Q209" i="68"/>
  <c r="R209" i="68" s="1"/>
  <c r="AC209" i="68"/>
  <c r="AD209" i="68"/>
  <c r="AF209" i="68"/>
  <c r="AG209" i="68"/>
  <c r="I210" i="68"/>
  <c r="AE210" i="68" s="1"/>
  <c r="N210" i="68"/>
  <c r="O210" i="68" s="1"/>
  <c r="Q210" i="68"/>
  <c r="AC210" i="68"/>
  <c r="AD210" i="68"/>
  <c r="AF210" i="68"/>
  <c r="AG210" i="68"/>
  <c r="I211" i="68"/>
  <c r="AE211" i="68" s="1"/>
  <c r="N211" i="68"/>
  <c r="O211" i="68" s="1"/>
  <c r="Q211" i="68"/>
  <c r="AC211" i="68"/>
  <c r="AD211" i="68"/>
  <c r="AF211" i="68"/>
  <c r="AG211" i="68"/>
  <c r="I212" i="68"/>
  <c r="AE212" i="68" s="1"/>
  <c r="N212" i="68"/>
  <c r="O212" i="68" s="1"/>
  <c r="Q212" i="68"/>
  <c r="AC212" i="68"/>
  <c r="AD212" i="68"/>
  <c r="AF212" i="68"/>
  <c r="AG212" i="68"/>
  <c r="I213" i="68"/>
  <c r="AE213" i="68" s="1"/>
  <c r="N213" i="68"/>
  <c r="O213" i="68" s="1"/>
  <c r="Q213" i="68"/>
  <c r="AC213" i="68"/>
  <c r="AD213" i="68"/>
  <c r="AF213" i="68"/>
  <c r="AG213" i="68"/>
  <c r="I214" i="68"/>
  <c r="AE214" i="68" s="1"/>
  <c r="N214" i="68"/>
  <c r="O214" i="68" s="1"/>
  <c r="Q214" i="68"/>
  <c r="AC214" i="68"/>
  <c r="AD214" i="68"/>
  <c r="AF214" i="68"/>
  <c r="AG214" i="68"/>
  <c r="I215" i="68"/>
  <c r="AE215" i="68" s="1"/>
  <c r="N215" i="68"/>
  <c r="O215" i="68" s="1"/>
  <c r="Q215" i="68"/>
  <c r="AC215" i="68"/>
  <c r="AD215" i="68"/>
  <c r="AF215" i="68"/>
  <c r="AG215" i="68"/>
  <c r="I216" i="68"/>
  <c r="AE216" i="68" s="1"/>
  <c r="N216" i="68"/>
  <c r="O216" i="68" s="1"/>
  <c r="Q216" i="68"/>
  <c r="AC216" i="68"/>
  <c r="AD216" i="68"/>
  <c r="AF216" i="68"/>
  <c r="AG216" i="68"/>
  <c r="I217" i="68"/>
  <c r="AE217" i="68" s="1"/>
  <c r="N217" i="68"/>
  <c r="O217" i="68" s="1"/>
  <c r="Q217" i="68"/>
  <c r="AC217" i="68"/>
  <c r="AD217" i="68"/>
  <c r="AF217" i="68"/>
  <c r="AG217" i="68"/>
  <c r="I218" i="68"/>
  <c r="AE218" i="68" s="1"/>
  <c r="N218" i="68"/>
  <c r="O218" i="68" s="1"/>
  <c r="Q218" i="68"/>
  <c r="AC218" i="68"/>
  <c r="AD218" i="68"/>
  <c r="AF218" i="68"/>
  <c r="AG218" i="68"/>
  <c r="I219" i="68"/>
  <c r="AE219" i="68" s="1"/>
  <c r="N219" i="68"/>
  <c r="O219" i="68" s="1"/>
  <c r="Q219" i="68"/>
  <c r="AC219" i="68"/>
  <c r="AD219" i="68"/>
  <c r="AF219" i="68"/>
  <c r="AG219" i="68"/>
  <c r="I220" i="68"/>
  <c r="AE220" i="68" s="1"/>
  <c r="N220" i="68"/>
  <c r="O220" i="68" s="1"/>
  <c r="Q220" i="68"/>
  <c r="AC220" i="68"/>
  <c r="AD220" i="68"/>
  <c r="AF220" i="68"/>
  <c r="AG220" i="68"/>
  <c r="I221" i="68"/>
  <c r="AE221" i="68" s="1"/>
  <c r="N221" i="68"/>
  <c r="O221" i="68" s="1"/>
  <c r="Q221" i="68"/>
  <c r="AC221" i="68"/>
  <c r="AD221" i="68"/>
  <c r="AF221" i="68"/>
  <c r="AG221" i="68"/>
  <c r="I222" i="68"/>
  <c r="AE222" i="68" s="1"/>
  <c r="N222" i="68"/>
  <c r="O222" i="68" s="1"/>
  <c r="Q222" i="68"/>
  <c r="AC222" i="68"/>
  <c r="AD222" i="68"/>
  <c r="AF222" i="68"/>
  <c r="AG222" i="68"/>
  <c r="I223" i="68"/>
  <c r="AE223" i="68" s="1"/>
  <c r="N223" i="68"/>
  <c r="O223" i="68" s="1"/>
  <c r="Q223" i="68"/>
  <c r="AC223" i="68"/>
  <c r="AD223" i="68"/>
  <c r="AF223" i="68"/>
  <c r="AG223" i="68"/>
  <c r="I224" i="68"/>
  <c r="AE224" i="68" s="1"/>
  <c r="N224" i="68"/>
  <c r="O224" i="68" s="1"/>
  <c r="Q224" i="68"/>
  <c r="AC224" i="68"/>
  <c r="AD224" i="68"/>
  <c r="AF224" i="68"/>
  <c r="AG224" i="68"/>
  <c r="I225" i="68"/>
  <c r="AE225" i="68" s="1"/>
  <c r="N225" i="68"/>
  <c r="O225" i="68" s="1"/>
  <c r="Q225" i="68"/>
  <c r="AC225" i="68"/>
  <c r="AD225" i="68"/>
  <c r="AF225" i="68"/>
  <c r="AG225" i="68"/>
  <c r="I231" i="68"/>
  <c r="AE231" i="68" s="1"/>
  <c r="N231" i="68"/>
  <c r="O231" i="68" s="1"/>
  <c r="Q231" i="68"/>
  <c r="AC231" i="68"/>
  <c r="AD231" i="68"/>
  <c r="AF231" i="68"/>
  <c r="AG231" i="68"/>
  <c r="L233" i="68"/>
  <c r="I236" i="68"/>
  <c r="AE236" i="68" s="1"/>
  <c r="N236" i="68"/>
  <c r="O236" i="68" s="1"/>
  <c r="Q236" i="68"/>
  <c r="AC236" i="68"/>
  <c r="AD236" i="68"/>
  <c r="AF236" i="68"/>
  <c r="AG236" i="68"/>
  <c r="I237" i="68"/>
  <c r="AE237" i="68" s="1"/>
  <c r="N237" i="68"/>
  <c r="O237" i="68" s="1"/>
  <c r="Q237" i="68"/>
  <c r="AC237" i="68"/>
  <c r="AD237" i="68"/>
  <c r="AF237" i="68"/>
  <c r="AG237" i="68"/>
  <c r="I238" i="68"/>
  <c r="AE238" i="68" s="1"/>
  <c r="N238" i="68"/>
  <c r="O238" i="68" s="1"/>
  <c r="Q238" i="68"/>
  <c r="AC238" i="68"/>
  <c r="AD238" i="68"/>
  <c r="AF238" i="68"/>
  <c r="AG238" i="68"/>
  <c r="I239" i="68"/>
  <c r="AE239" i="68" s="1"/>
  <c r="N239" i="68"/>
  <c r="O239" i="68" s="1"/>
  <c r="Q239" i="68"/>
  <c r="AC239" i="68"/>
  <c r="AD239" i="68"/>
  <c r="AF239" i="68"/>
  <c r="AG239" i="68"/>
  <c r="I240" i="68"/>
  <c r="AE240" i="68" s="1"/>
  <c r="N240" i="68"/>
  <c r="O240" i="68" s="1"/>
  <c r="Q240" i="68"/>
  <c r="AC240" i="68"/>
  <c r="AD240" i="68"/>
  <c r="AF240" i="68"/>
  <c r="AG240" i="68"/>
  <c r="I241" i="68"/>
  <c r="AE241" i="68" s="1"/>
  <c r="N241" i="68"/>
  <c r="O241" i="68" s="1"/>
  <c r="Q241" i="68"/>
  <c r="AC241" i="68"/>
  <c r="AD241" i="68"/>
  <c r="AF241" i="68"/>
  <c r="AG241" i="68"/>
  <c r="I242" i="68"/>
  <c r="AE242" i="68" s="1"/>
  <c r="N242" i="68"/>
  <c r="O242" i="68" s="1"/>
  <c r="Q242" i="68"/>
  <c r="AC242" i="68"/>
  <c r="AD242" i="68"/>
  <c r="AF242" i="68"/>
  <c r="AG242" i="68"/>
  <c r="I243" i="68"/>
  <c r="AE243" i="68" s="1"/>
  <c r="N243" i="68"/>
  <c r="O243" i="68" s="1"/>
  <c r="Q243" i="68"/>
  <c r="AC243" i="68"/>
  <c r="AD243" i="68"/>
  <c r="AF243" i="68"/>
  <c r="AG243" i="68"/>
  <c r="I244" i="68"/>
  <c r="AE244" i="68" s="1"/>
  <c r="N244" i="68"/>
  <c r="O244" i="68" s="1"/>
  <c r="Q244" i="68"/>
  <c r="AC244" i="68"/>
  <c r="AD244" i="68"/>
  <c r="AF244" i="68"/>
  <c r="AG244" i="68"/>
  <c r="I245" i="68"/>
  <c r="AE245" i="68" s="1"/>
  <c r="N245" i="68"/>
  <c r="O245" i="68" s="1"/>
  <c r="Q245" i="68"/>
  <c r="AC245" i="68"/>
  <c r="AD245" i="68"/>
  <c r="AF245" i="68"/>
  <c r="AG245" i="68"/>
  <c r="I246" i="68"/>
  <c r="AE246" i="68" s="1"/>
  <c r="N246" i="68"/>
  <c r="O246" i="68" s="1"/>
  <c r="Q246" i="68"/>
  <c r="AC246" i="68"/>
  <c r="AD246" i="68"/>
  <c r="AF246" i="68"/>
  <c r="AG246" i="68"/>
  <c r="I247" i="68"/>
  <c r="AE247" i="68" s="1"/>
  <c r="N247" i="68"/>
  <c r="O247" i="68" s="1"/>
  <c r="Q247" i="68"/>
  <c r="AC247" i="68"/>
  <c r="AD247" i="68"/>
  <c r="AF247" i="68"/>
  <c r="AG247" i="68"/>
  <c r="I248" i="68"/>
  <c r="AE248" i="68" s="1"/>
  <c r="N248" i="68"/>
  <c r="O248" i="68" s="1"/>
  <c r="Q248" i="68"/>
  <c r="AC248" i="68"/>
  <c r="AD248" i="68"/>
  <c r="AF248" i="68"/>
  <c r="AG248" i="68"/>
  <c r="I249" i="68"/>
  <c r="AE249" i="68" s="1"/>
  <c r="N249" i="68"/>
  <c r="O249" i="68" s="1"/>
  <c r="Q249" i="68"/>
  <c r="AC249" i="68"/>
  <c r="AD249" i="68"/>
  <c r="AF249" i="68"/>
  <c r="AG249" i="68"/>
  <c r="I250" i="68"/>
  <c r="AE250" i="68" s="1"/>
  <c r="N250" i="68"/>
  <c r="O250" i="68" s="1"/>
  <c r="Q250" i="68"/>
  <c r="AC250" i="68"/>
  <c r="AD250" i="68"/>
  <c r="AF250" i="68"/>
  <c r="AG250" i="68"/>
  <c r="I251" i="68"/>
  <c r="AE251" i="68" s="1"/>
  <c r="N251" i="68"/>
  <c r="O251" i="68" s="1"/>
  <c r="Q251" i="68"/>
  <c r="AC251" i="68"/>
  <c r="AD251" i="68"/>
  <c r="AF251" i="68"/>
  <c r="AG251" i="68"/>
  <c r="I252" i="68"/>
  <c r="AE252" i="68" s="1"/>
  <c r="N252" i="68"/>
  <c r="O252" i="68" s="1"/>
  <c r="Q252" i="68"/>
  <c r="AC252" i="68"/>
  <c r="AD252" i="68"/>
  <c r="AF252" i="68"/>
  <c r="AG252" i="68"/>
  <c r="I253" i="68"/>
  <c r="AE253" i="68" s="1"/>
  <c r="N253" i="68"/>
  <c r="O253" i="68" s="1"/>
  <c r="Q253" i="68"/>
  <c r="AC253" i="68"/>
  <c r="AD253" i="68"/>
  <c r="AF253" i="68"/>
  <c r="AG253" i="68"/>
  <c r="I254" i="68"/>
  <c r="AE254" i="68" s="1"/>
  <c r="N254" i="68"/>
  <c r="O254" i="68" s="1"/>
  <c r="Q254" i="68"/>
  <c r="AC254" i="68"/>
  <c r="AD254" i="68"/>
  <c r="AF254" i="68"/>
  <c r="AG254" i="68"/>
  <c r="I255" i="68"/>
  <c r="AE255" i="68" s="1"/>
  <c r="N255" i="68"/>
  <c r="O255" i="68" s="1"/>
  <c r="Q255" i="68"/>
  <c r="AC255" i="68"/>
  <c r="AD255" i="68"/>
  <c r="AF255" i="68"/>
  <c r="AG255" i="68"/>
  <c r="I256" i="68"/>
  <c r="AE256" i="68" s="1"/>
  <c r="N256" i="68"/>
  <c r="O256" i="68" s="1"/>
  <c r="Q256" i="68"/>
  <c r="AC256" i="68"/>
  <c r="AD256" i="68"/>
  <c r="AF256" i="68"/>
  <c r="AG256" i="68"/>
  <c r="I257" i="68"/>
  <c r="AE257" i="68" s="1"/>
  <c r="N257" i="68"/>
  <c r="O257" i="68" s="1"/>
  <c r="Q257" i="68"/>
  <c r="AC257" i="68"/>
  <c r="AD257" i="68"/>
  <c r="AF257" i="68"/>
  <c r="AG257" i="68"/>
  <c r="I258" i="68"/>
  <c r="AE258" i="68" s="1"/>
  <c r="N258" i="68"/>
  <c r="O258" i="68" s="1"/>
  <c r="Q258" i="68"/>
  <c r="AC258" i="68"/>
  <c r="AD258" i="68"/>
  <c r="AF258" i="68"/>
  <c r="AG258" i="68"/>
  <c r="I259" i="68"/>
  <c r="AE259" i="68" s="1"/>
  <c r="N259" i="68"/>
  <c r="O259" i="68" s="1"/>
  <c r="Q259" i="68"/>
  <c r="AC259" i="68"/>
  <c r="AD259" i="68"/>
  <c r="AF259" i="68"/>
  <c r="AG259" i="68"/>
  <c r="I260" i="68"/>
  <c r="AE260" i="68" s="1"/>
  <c r="N260" i="68"/>
  <c r="O260" i="68" s="1"/>
  <c r="Q260" i="68"/>
  <c r="AC260" i="68"/>
  <c r="AD260" i="68"/>
  <c r="AF260" i="68"/>
  <c r="AG260" i="68"/>
  <c r="I261" i="68"/>
  <c r="AE261" i="68" s="1"/>
  <c r="N261" i="68"/>
  <c r="O261" i="68" s="1"/>
  <c r="Q261" i="68"/>
  <c r="AC261" i="68"/>
  <c r="AD261" i="68"/>
  <c r="AF261" i="68"/>
  <c r="AG261" i="68"/>
  <c r="I268" i="68"/>
  <c r="AE268" i="68" s="1"/>
  <c r="N268" i="68"/>
  <c r="O268" i="68" s="1"/>
  <c r="Q268" i="68"/>
  <c r="AC268" i="68"/>
  <c r="AD268" i="68"/>
  <c r="AF268" i="68"/>
  <c r="AG268" i="68"/>
  <c r="L270" i="68"/>
  <c r="I274" i="68"/>
  <c r="AE274" i="68" s="1"/>
  <c r="N274" i="68"/>
  <c r="O274" i="68" s="1"/>
  <c r="Q274" i="68"/>
  <c r="AC274" i="68"/>
  <c r="AD274" i="68"/>
  <c r="AF274" i="68"/>
  <c r="AG274" i="68"/>
  <c r="I275" i="68"/>
  <c r="AE275" i="68" s="1"/>
  <c r="N275" i="68"/>
  <c r="O275" i="68" s="1"/>
  <c r="Q275" i="68"/>
  <c r="AC275" i="68"/>
  <c r="AD275" i="68"/>
  <c r="AF275" i="68"/>
  <c r="AG275" i="68"/>
  <c r="L277" i="68"/>
  <c r="I281" i="68"/>
  <c r="AE281" i="68" s="1"/>
  <c r="N281" i="68"/>
  <c r="N285" i="68" s="1"/>
  <c r="Q281" i="68"/>
  <c r="Q285" i="68" s="1"/>
  <c r="AC281" i="68"/>
  <c r="AD281" i="68"/>
  <c r="AF281" i="68"/>
  <c r="AG281" i="68"/>
  <c r="I289" i="68"/>
  <c r="AE289" i="68" s="1"/>
  <c r="N289" i="68"/>
  <c r="O289" i="68" s="1"/>
  <c r="Q289" i="68"/>
  <c r="AC289" i="68"/>
  <c r="AD289" i="68"/>
  <c r="AF289" i="68"/>
  <c r="AG289" i="68"/>
  <c r="I290" i="68"/>
  <c r="AE290" i="68" s="1"/>
  <c r="N290" i="68"/>
  <c r="O290" i="68" s="1"/>
  <c r="Q290" i="68"/>
  <c r="AC290" i="68"/>
  <c r="AD290" i="68"/>
  <c r="AF290" i="68"/>
  <c r="AG290" i="68"/>
  <c r="I291" i="68"/>
  <c r="AE291" i="68" s="1"/>
  <c r="N291" i="68"/>
  <c r="O291" i="68" s="1"/>
  <c r="Q291" i="68"/>
  <c r="AC291" i="68"/>
  <c r="AD291" i="68"/>
  <c r="AF291" i="68"/>
  <c r="AG291" i="68"/>
  <c r="I292" i="68"/>
  <c r="AE292" i="68" s="1"/>
  <c r="N292" i="68"/>
  <c r="O292" i="68" s="1"/>
  <c r="Q292" i="68"/>
  <c r="AC292" i="68"/>
  <c r="AD292" i="68"/>
  <c r="AF292" i="68"/>
  <c r="AG292" i="68"/>
  <c r="I293" i="68"/>
  <c r="AE293" i="68" s="1"/>
  <c r="N293" i="68"/>
  <c r="O293" i="68" s="1"/>
  <c r="Q293" i="68"/>
  <c r="AC293" i="68"/>
  <c r="AD293" i="68"/>
  <c r="AF293" i="68"/>
  <c r="AG293" i="68"/>
  <c r="I294" i="68"/>
  <c r="AE294" i="68" s="1"/>
  <c r="N294" i="68"/>
  <c r="O294" i="68" s="1"/>
  <c r="Q294" i="68"/>
  <c r="AC294" i="68"/>
  <c r="AD294" i="68"/>
  <c r="AF294" i="68"/>
  <c r="AG294" i="68"/>
  <c r="I295" i="68"/>
  <c r="AE295" i="68" s="1"/>
  <c r="N295" i="68"/>
  <c r="O295" i="68" s="1"/>
  <c r="Q295" i="68"/>
  <c r="AC295" i="68"/>
  <c r="AD295" i="68"/>
  <c r="AF295" i="68"/>
  <c r="AG295" i="68"/>
  <c r="I296" i="68"/>
  <c r="AE296" i="68" s="1"/>
  <c r="N296" i="68"/>
  <c r="O296" i="68" s="1"/>
  <c r="Q296" i="68"/>
  <c r="AC296" i="68"/>
  <c r="AD296" i="68"/>
  <c r="AF296" i="68"/>
  <c r="AG296" i="68"/>
  <c r="I298" i="68"/>
  <c r="AE298" i="68" s="1"/>
  <c r="AC298" i="68"/>
  <c r="I300" i="68"/>
  <c r="AE300" i="68" s="1"/>
  <c r="AC300" i="68"/>
  <c r="I302" i="68"/>
  <c r="AE302" i="68" s="1"/>
  <c r="AC302" i="68"/>
  <c r="I304" i="68"/>
  <c r="AE304" i="68" s="1"/>
  <c r="Q304" i="68" s="1"/>
  <c r="AC304" i="68"/>
  <c r="I306" i="68"/>
  <c r="AE306" i="68" s="1"/>
  <c r="N306" i="68"/>
  <c r="O306" i="68" s="1"/>
  <c r="Q306" i="68"/>
  <c r="AC306" i="68"/>
  <c r="AD306" i="68"/>
  <c r="AF306" i="68"/>
  <c r="AG306" i="68"/>
  <c r="I307" i="68"/>
  <c r="AE307" i="68" s="1"/>
  <c r="N307" i="68"/>
  <c r="O307" i="68" s="1"/>
  <c r="Q307" i="68"/>
  <c r="T307" i="68" s="1"/>
  <c r="AC307" i="68"/>
  <c r="AD307" i="68"/>
  <c r="AF307" i="68"/>
  <c r="AG307" i="68"/>
  <c r="I308" i="68"/>
  <c r="AE308" i="68" s="1"/>
  <c r="N308" i="68"/>
  <c r="O308" i="68" s="1"/>
  <c r="Q308" i="68"/>
  <c r="AC308" i="68"/>
  <c r="AD308" i="68"/>
  <c r="AF308" i="68"/>
  <c r="AG308" i="68"/>
  <c r="I309" i="68"/>
  <c r="AE309" i="68" s="1"/>
  <c r="N309" i="68"/>
  <c r="O309" i="68" s="1"/>
  <c r="Q309" i="68"/>
  <c r="AC309" i="68"/>
  <c r="AD309" i="68"/>
  <c r="AF309" i="68"/>
  <c r="AG309" i="68"/>
  <c r="I315" i="68"/>
  <c r="AE315" i="68" s="1"/>
  <c r="N315" i="68"/>
  <c r="O315" i="68" s="1"/>
  <c r="Q315" i="68"/>
  <c r="AC315" i="68"/>
  <c r="AD315" i="68"/>
  <c r="AF315" i="68"/>
  <c r="AG315" i="68"/>
  <c r="I320" i="68"/>
  <c r="AE320" i="68" s="1"/>
  <c r="N320" i="68"/>
  <c r="O320" i="68" s="1"/>
  <c r="Q320" i="68"/>
  <c r="AC320" i="68"/>
  <c r="AD320" i="68"/>
  <c r="AF320" i="68"/>
  <c r="AG320" i="68"/>
  <c r="I321" i="68"/>
  <c r="AE321" i="68" s="1"/>
  <c r="N321" i="68"/>
  <c r="O321" i="68" s="1"/>
  <c r="Q321" i="68"/>
  <c r="AC321" i="68"/>
  <c r="AD321" i="68"/>
  <c r="AF321" i="68"/>
  <c r="AG321" i="68"/>
  <c r="I322" i="68"/>
  <c r="AE322" i="68" s="1"/>
  <c r="N322" i="68"/>
  <c r="O322" i="68" s="1"/>
  <c r="Q322" i="68"/>
  <c r="AC322" i="68"/>
  <c r="AD322" i="68"/>
  <c r="AF322" i="68"/>
  <c r="AG322" i="68"/>
  <c r="I328" i="68"/>
  <c r="AE328" i="68" s="1"/>
  <c r="N328" i="68"/>
  <c r="O328" i="68" s="1"/>
  <c r="Q328" i="68"/>
  <c r="AC328" i="68"/>
  <c r="AD328" i="68"/>
  <c r="AF328" i="68"/>
  <c r="AG328" i="68"/>
  <c r="I329" i="68"/>
  <c r="AE329" i="68" s="1"/>
  <c r="N329" i="68"/>
  <c r="O329" i="68" s="1"/>
  <c r="AC329" i="68"/>
  <c r="AD329" i="68"/>
  <c r="AF329" i="68"/>
  <c r="AG329" i="68"/>
  <c r="I330" i="68"/>
  <c r="AE330" i="68" s="1"/>
  <c r="N330" i="68"/>
  <c r="O330" i="68" s="1"/>
  <c r="AC330" i="68"/>
  <c r="AD330" i="68"/>
  <c r="AF330" i="68"/>
  <c r="AG330" i="68"/>
  <c r="I331" i="68"/>
  <c r="AE331" i="68" s="1"/>
  <c r="N331" i="68"/>
  <c r="O331" i="68" s="1"/>
  <c r="AC331" i="68"/>
  <c r="AD331" i="68"/>
  <c r="AF331" i="68"/>
  <c r="AG331" i="68"/>
  <c r="I332" i="68"/>
  <c r="AE332" i="68" s="1"/>
  <c r="N332" i="68"/>
  <c r="O332" i="68" s="1"/>
  <c r="AC332" i="68"/>
  <c r="AD332" i="68"/>
  <c r="AF332" i="68"/>
  <c r="AG332" i="68"/>
  <c r="I333" i="68"/>
  <c r="AE333" i="68" s="1"/>
  <c r="N333" i="68"/>
  <c r="O333" i="68" s="1"/>
  <c r="Q333" i="68"/>
  <c r="AC333" i="68"/>
  <c r="AD333" i="68"/>
  <c r="AF333" i="68"/>
  <c r="AG333" i="68"/>
  <c r="I334" i="68"/>
  <c r="AE334" i="68" s="1"/>
  <c r="N334" i="68"/>
  <c r="O334" i="68" s="1"/>
  <c r="Q334" i="68"/>
  <c r="AC334" i="68"/>
  <c r="AD334" i="68"/>
  <c r="AF334" i="68"/>
  <c r="AG334" i="68"/>
  <c r="I335" i="68"/>
  <c r="AE335" i="68" s="1"/>
  <c r="N335" i="68"/>
  <c r="O335" i="68" s="1"/>
  <c r="Q335" i="68"/>
  <c r="AC335" i="68"/>
  <c r="AD335" i="68"/>
  <c r="AF335" i="68"/>
  <c r="AG335" i="68"/>
  <c r="I336" i="68"/>
  <c r="AE336" i="68" s="1"/>
  <c r="N336" i="68"/>
  <c r="O336" i="68" s="1"/>
  <c r="Q336" i="68"/>
  <c r="AC336" i="68"/>
  <c r="AD336" i="68"/>
  <c r="AF336" i="68"/>
  <c r="AG336" i="68"/>
  <c r="I337" i="68"/>
  <c r="AE337" i="68" s="1"/>
  <c r="N337" i="68"/>
  <c r="O337" i="68" s="1"/>
  <c r="AC337" i="68"/>
  <c r="AD337" i="68"/>
  <c r="AF337" i="68"/>
  <c r="AG337" i="68"/>
  <c r="I338" i="68"/>
  <c r="AE338" i="68" s="1"/>
  <c r="N338" i="68"/>
  <c r="O338" i="68" s="1"/>
  <c r="AC338" i="68"/>
  <c r="AD338" i="68"/>
  <c r="AF338" i="68"/>
  <c r="AG338" i="68"/>
  <c r="I339" i="68"/>
  <c r="AE339" i="68" s="1"/>
  <c r="N339" i="68"/>
  <c r="O339" i="68" s="1"/>
  <c r="AC339" i="68"/>
  <c r="AD339" i="68"/>
  <c r="AF339" i="68"/>
  <c r="AG339" i="68"/>
  <c r="I340" i="68"/>
  <c r="AE340" i="68" s="1"/>
  <c r="N340" i="68"/>
  <c r="O340" i="68" s="1"/>
  <c r="AC340" i="68"/>
  <c r="AD340" i="68"/>
  <c r="AF340" i="68"/>
  <c r="AG340" i="68"/>
  <c r="I341" i="68"/>
  <c r="AE341" i="68" s="1"/>
  <c r="N341" i="68"/>
  <c r="O341" i="68" s="1"/>
  <c r="AC341" i="68"/>
  <c r="AD341" i="68"/>
  <c r="AF341" i="68"/>
  <c r="AG341" i="68"/>
  <c r="I342" i="68"/>
  <c r="AE342" i="68" s="1"/>
  <c r="N342" i="68"/>
  <c r="O342" i="68" s="1"/>
  <c r="Q342" i="68"/>
  <c r="AC342" i="68"/>
  <c r="AD342" i="68"/>
  <c r="AF342" i="68"/>
  <c r="AG342" i="68"/>
  <c r="I343" i="68"/>
  <c r="AE343" i="68" s="1"/>
  <c r="N343" i="68"/>
  <c r="O343" i="68" s="1"/>
  <c r="Q343" i="68"/>
  <c r="AC343" i="68"/>
  <c r="AD343" i="68"/>
  <c r="AF343" i="68"/>
  <c r="AG343" i="68"/>
  <c r="I344" i="68"/>
  <c r="AE344" i="68" s="1"/>
  <c r="N344" i="68"/>
  <c r="O344" i="68" s="1"/>
  <c r="Q344" i="68"/>
  <c r="AC344" i="68"/>
  <c r="AD344" i="68"/>
  <c r="AF344" i="68"/>
  <c r="AG344" i="68"/>
  <c r="I345" i="68"/>
  <c r="AE345" i="68" s="1"/>
  <c r="N345" i="68"/>
  <c r="O345" i="68" s="1"/>
  <c r="Q345" i="68"/>
  <c r="AC345" i="68"/>
  <c r="AD345" i="68"/>
  <c r="AF345" i="68"/>
  <c r="AG345" i="68"/>
  <c r="AE349" i="68"/>
  <c r="N349" i="68"/>
  <c r="O349" i="68" s="1"/>
  <c r="Q349" i="68"/>
  <c r="AC349" i="68"/>
  <c r="AD349" i="68"/>
  <c r="AF349" i="68"/>
  <c r="AG349" i="68"/>
  <c r="M351" i="68"/>
  <c r="AI354" i="68"/>
  <c r="AJ354" i="68"/>
  <c r="P12" i="49"/>
  <c r="P13" i="49"/>
  <c r="P14" i="49"/>
  <c r="P15" i="49"/>
  <c r="P16" i="49"/>
  <c r="P18" i="49"/>
  <c r="P19" i="49"/>
  <c r="P20" i="49"/>
  <c r="P39" i="49" s="1"/>
  <c r="P21" i="49"/>
  <c r="P40" i="49" s="1"/>
  <c r="P22" i="49"/>
  <c r="P41" i="49" s="1"/>
  <c r="P23" i="49"/>
  <c r="P42" i="49" s="1"/>
  <c r="P24" i="49"/>
  <c r="P43" i="49" s="1"/>
  <c r="P25" i="49"/>
  <c r="P44" i="49" s="1"/>
  <c r="P26" i="49"/>
  <c r="P45" i="49" s="1"/>
  <c r="P27" i="49"/>
  <c r="P46" i="49" s="1"/>
  <c r="P29" i="49"/>
  <c r="P12" i="48"/>
  <c r="AH12" i="48"/>
  <c r="AI12" i="48"/>
  <c r="P13" i="48"/>
  <c r="P14" i="48"/>
  <c r="P15" i="48"/>
  <c r="P16" i="48"/>
  <c r="P18" i="48"/>
  <c r="P19" i="48"/>
  <c r="P20" i="48"/>
  <c r="P21" i="48"/>
  <c r="P22" i="48"/>
  <c r="P23" i="48"/>
  <c r="P24" i="48"/>
  <c r="P25" i="48"/>
  <c r="P26" i="48"/>
  <c r="P27" i="48"/>
  <c r="P28" i="48"/>
  <c r="P29" i="48"/>
  <c r="P30" i="48"/>
  <c r="P31" i="48"/>
  <c r="P33" i="48"/>
  <c r="O10" i="47"/>
  <c r="O11" i="47"/>
  <c r="O12" i="47"/>
  <c r="O13" i="47"/>
  <c r="O14" i="47"/>
  <c r="O15" i="47"/>
  <c r="O16" i="47"/>
  <c r="O17" i="47"/>
  <c r="O18" i="47"/>
  <c r="O19" i="47"/>
  <c r="O20" i="47"/>
  <c r="O21" i="47"/>
  <c r="O22" i="47"/>
  <c r="O23" i="47"/>
  <c r="O24" i="47"/>
  <c r="O25" i="47"/>
  <c r="O26" i="47"/>
  <c r="O27" i="47"/>
  <c r="O28" i="47"/>
  <c r="X28" i="47"/>
  <c r="C20" i="31" s="1"/>
  <c r="C21" i="37" s="1"/>
  <c r="O29" i="47"/>
  <c r="X29" i="47"/>
  <c r="L20" i="31" s="1"/>
  <c r="K21" i="37" s="1"/>
  <c r="O30" i="47"/>
  <c r="X30" i="47"/>
  <c r="U20" i="31" s="1"/>
  <c r="S21" i="37" s="1"/>
  <c r="O31" i="47"/>
  <c r="X31" i="47"/>
  <c r="C21" i="31" s="1"/>
  <c r="C22" i="37" s="1"/>
  <c r="O32" i="47"/>
  <c r="X32" i="47"/>
  <c r="L21" i="31" s="1"/>
  <c r="K22" i="37" s="1"/>
  <c r="O33" i="47"/>
  <c r="X33" i="47"/>
  <c r="U21" i="31" s="1"/>
  <c r="S22" i="37" s="1"/>
  <c r="O34" i="47"/>
  <c r="X34" i="47"/>
  <c r="C22" i="31" s="1"/>
  <c r="O35" i="47"/>
  <c r="X35" i="47"/>
  <c r="O36" i="47"/>
  <c r="X36" i="47"/>
  <c r="U22" i="31" s="1"/>
  <c r="O37" i="47"/>
  <c r="X37" i="47"/>
  <c r="AD37" i="47"/>
  <c r="F23" i="31" s="1"/>
  <c r="O38" i="47"/>
  <c r="X38" i="47"/>
  <c r="AD38" i="47"/>
  <c r="O23" i="31" s="1"/>
  <c r="Q23" i="31" s="1"/>
  <c r="O39" i="47"/>
  <c r="X39" i="47"/>
  <c r="U23" i="31" s="1"/>
  <c r="S24" i="37" s="1"/>
  <c r="AD39" i="47"/>
  <c r="X23" i="31" s="1"/>
  <c r="Z23" i="31" s="1"/>
  <c r="O40" i="47"/>
  <c r="Q40" i="47" s="1"/>
  <c r="Q37" i="47" s="1"/>
  <c r="X40" i="47"/>
  <c r="O41" i="47"/>
  <c r="Q41" i="47" s="1"/>
  <c r="Q38" i="47" s="1"/>
  <c r="X41" i="47"/>
  <c r="O42" i="47"/>
  <c r="Q42" i="47" s="1"/>
  <c r="Q39" i="47" s="1"/>
  <c r="X42" i="47"/>
  <c r="O43" i="47"/>
  <c r="X43" i="47"/>
  <c r="O44" i="47"/>
  <c r="X44" i="47"/>
  <c r="O45" i="47"/>
  <c r="X45" i="47"/>
  <c r="O46" i="47"/>
  <c r="Q46" i="47" s="1"/>
  <c r="Q43" i="47" s="1"/>
  <c r="X46" i="47"/>
  <c r="AD46" i="47"/>
  <c r="O47" i="47"/>
  <c r="Q47" i="47" s="1"/>
  <c r="Q44" i="47" s="1"/>
  <c r="X47" i="47"/>
  <c r="AD47" i="47"/>
  <c r="O48" i="47"/>
  <c r="Q48" i="47" s="1"/>
  <c r="Q45" i="47" s="1"/>
  <c r="X48" i="47"/>
  <c r="AD48" i="47"/>
  <c r="O49" i="47"/>
  <c r="R49" i="47" s="1"/>
  <c r="X49" i="47"/>
  <c r="C10" i="31" s="1"/>
  <c r="O50" i="47"/>
  <c r="R50" i="47" s="1"/>
  <c r="X50" i="47"/>
  <c r="L10" i="31" s="1"/>
  <c r="K11" i="37" s="1"/>
  <c r="M11" i="37" s="1"/>
  <c r="AD50" i="47"/>
  <c r="O10" i="31" s="1"/>
  <c r="Q10" i="31" s="1"/>
  <c r="O51" i="47"/>
  <c r="Q51" i="47"/>
  <c r="X51" i="47"/>
  <c r="U10" i="31" s="1"/>
  <c r="S11" i="37" s="1"/>
  <c r="U11" i="37" s="1"/>
  <c r="AC51" i="47"/>
  <c r="AD51" i="47" s="1"/>
  <c r="X10" i="31" s="1"/>
  <c r="Z10" i="31" s="1"/>
  <c r="O52" i="47"/>
  <c r="R52" i="47" s="1"/>
  <c r="X52" i="47"/>
  <c r="C11" i="31" s="1"/>
  <c r="AD52" i="47"/>
  <c r="F11" i="31" s="1"/>
  <c r="O53" i="47"/>
  <c r="R53" i="47" s="1"/>
  <c r="X53" i="47"/>
  <c r="L11" i="31" s="1"/>
  <c r="AD53" i="47"/>
  <c r="O11" i="31" s="1"/>
  <c r="O54" i="47"/>
  <c r="R54" i="47" s="1"/>
  <c r="X54" i="47"/>
  <c r="U11" i="31" s="1"/>
  <c r="AD54" i="47"/>
  <c r="X11" i="31" s="1"/>
  <c r="O55" i="47"/>
  <c r="R55" i="47" s="1"/>
  <c r="X55" i="47"/>
  <c r="C12" i="31" s="1"/>
  <c r="AD55" i="47"/>
  <c r="F12" i="31" s="1"/>
  <c r="H12" i="31" s="1"/>
  <c r="O56" i="47"/>
  <c r="R56" i="47" s="1"/>
  <c r="X56" i="47"/>
  <c r="L12" i="31" s="1"/>
  <c r="AD56" i="47"/>
  <c r="O12" i="31" s="1"/>
  <c r="Q12" i="31" s="1"/>
  <c r="O57" i="47"/>
  <c r="R57" i="47" s="1"/>
  <c r="X57" i="47"/>
  <c r="U12" i="31" s="1"/>
  <c r="S13" i="37" s="1"/>
  <c r="U13" i="37" s="1"/>
  <c r="AD57" i="47"/>
  <c r="X12" i="31" s="1"/>
  <c r="Z12" i="31" s="1"/>
  <c r="O58" i="47"/>
  <c r="R58" i="47" s="1"/>
  <c r="X58" i="47"/>
  <c r="C13" i="31" s="1"/>
  <c r="AD58" i="47"/>
  <c r="F13" i="31" s="1"/>
  <c r="O59" i="47"/>
  <c r="R59" i="47" s="1"/>
  <c r="X59" i="47"/>
  <c r="L13" i="31" s="1"/>
  <c r="AD59" i="47"/>
  <c r="O13" i="31" s="1"/>
  <c r="Q13" i="31" s="1"/>
  <c r="O60" i="47"/>
  <c r="R60" i="47" s="1"/>
  <c r="X60" i="47"/>
  <c r="U13" i="31" s="1"/>
  <c r="AD60" i="47"/>
  <c r="X13" i="31" s="1"/>
  <c r="Z13" i="31" s="1"/>
  <c r="O64" i="47"/>
  <c r="Q64" i="47" s="1"/>
  <c r="Q10" i="47" s="1"/>
  <c r="W64" i="47"/>
  <c r="W10" i="47" s="1"/>
  <c r="X10" i="47" s="1"/>
  <c r="C14" i="31" s="1"/>
  <c r="AC64" i="47"/>
  <c r="AC10" i="47" s="1"/>
  <c r="O65" i="47"/>
  <c r="Q65" i="47" s="1"/>
  <c r="Q11" i="47" s="1"/>
  <c r="W65" i="47"/>
  <c r="W11" i="47" s="1"/>
  <c r="AC65" i="47"/>
  <c r="AC11" i="47" s="1"/>
  <c r="AD11" i="47" s="1"/>
  <c r="O14" i="31" s="1"/>
  <c r="Q14" i="31" s="1"/>
  <c r="O66" i="47"/>
  <c r="Q66" i="47" s="1"/>
  <c r="Q12" i="47" s="1"/>
  <c r="W66" i="47"/>
  <c r="W12" i="47" s="1"/>
  <c r="AC66" i="47"/>
  <c r="AC12" i="47" s="1"/>
  <c r="AD12" i="47" s="1"/>
  <c r="X14" i="31" s="1"/>
  <c r="Z14" i="31" s="1"/>
  <c r="O67" i="47"/>
  <c r="Q67" i="47" s="1"/>
  <c r="Q13" i="47" s="1"/>
  <c r="W67" i="47"/>
  <c r="W13" i="47" s="1"/>
  <c r="AC67" i="47"/>
  <c r="AC13" i="47" s="1"/>
  <c r="AD13" i="47" s="1"/>
  <c r="F15" i="31" s="1"/>
  <c r="O68" i="47"/>
  <c r="Q68" i="47" s="1"/>
  <c r="Q14" i="47" s="1"/>
  <c r="W68" i="47"/>
  <c r="W14" i="47" s="1"/>
  <c r="X14" i="47" s="1"/>
  <c r="L15" i="31" s="1"/>
  <c r="K16" i="37" s="1"/>
  <c r="N16" i="37" s="1"/>
  <c r="P16" i="37" s="1"/>
  <c r="AC68" i="47"/>
  <c r="AC14" i="47" s="1"/>
  <c r="O69" i="47"/>
  <c r="Q69" i="47" s="1"/>
  <c r="Q15" i="47" s="1"/>
  <c r="W69" i="47"/>
  <c r="W15" i="47" s="1"/>
  <c r="X15" i="47" s="1"/>
  <c r="U15" i="31" s="1"/>
  <c r="AC69" i="47"/>
  <c r="AC15" i="47" s="1"/>
  <c r="O70" i="47"/>
  <c r="Q70" i="47" s="1"/>
  <c r="Q16" i="47" s="1"/>
  <c r="W70" i="47"/>
  <c r="W16" i="47" s="1"/>
  <c r="AC70" i="47"/>
  <c r="O71" i="47"/>
  <c r="Q71" i="47" s="1"/>
  <c r="W71" i="47"/>
  <c r="W17" i="47" s="1"/>
  <c r="AC71" i="47"/>
  <c r="AD29" i="47" s="1"/>
  <c r="O20" i="31" s="1"/>
  <c r="O72" i="47"/>
  <c r="Q72" i="47" s="1"/>
  <c r="W72" i="47"/>
  <c r="W18" i="47" s="1"/>
  <c r="X18" i="47" s="1"/>
  <c r="U16" i="31" s="1"/>
  <c r="AC72" i="47"/>
  <c r="AD30" i="47" s="1"/>
  <c r="X20" i="31" s="1"/>
  <c r="O73" i="47"/>
  <c r="Q73" i="47" s="1"/>
  <c r="Q31" i="47" s="1"/>
  <c r="W73" i="47"/>
  <c r="W19" i="47" s="1"/>
  <c r="AC73" i="47"/>
  <c r="AC31" i="47" s="1"/>
  <c r="AD31" i="47" s="1"/>
  <c r="O74" i="47"/>
  <c r="Q74" i="47" s="1"/>
  <c r="Q20" i="47" s="1"/>
  <c r="W74" i="47"/>
  <c r="W20" i="47" s="1"/>
  <c r="AC74" i="47"/>
  <c r="AC20" i="47" s="1"/>
  <c r="AD20" i="47" s="1"/>
  <c r="O17" i="31" s="1"/>
  <c r="Q17" i="31" s="1"/>
  <c r="O75" i="47"/>
  <c r="Q75" i="47" s="1"/>
  <c r="W75" i="47"/>
  <c r="W21" i="47" s="1"/>
  <c r="AC75" i="47"/>
  <c r="AC21" i="47" s="1"/>
  <c r="O76" i="47"/>
  <c r="Q76" i="47" s="1"/>
  <c r="W76" i="47"/>
  <c r="W22" i="47" s="1"/>
  <c r="X22" i="47" s="1"/>
  <c r="C18" i="31" s="1"/>
  <c r="C19" i="37" s="1"/>
  <c r="AC76" i="47"/>
  <c r="AC22" i="47" s="1"/>
  <c r="AD22" i="47" s="1"/>
  <c r="F18" i="31" s="1"/>
  <c r="H18" i="31" s="1"/>
  <c r="O77" i="47"/>
  <c r="Q77" i="47" s="1"/>
  <c r="W77" i="47"/>
  <c r="W23" i="47" s="1"/>
  <c r="AC77" i="47"/>
  <c r="AC23" i="47" s="1"/>
  <c r="AD23" i="47" s="1"/>
  <c r="O18" i="31" s="1"/>
  <c r="O78" i="47"/>
  <c r="Q78" i="47" s="1"/>
  <c r="Q24" i="47" s="1"/>
  <c r="W78" i="47"/>
  <c r="W24" i="47" s="1"/>
  <c r="AC78" i="47"/>
  <c r="O79" i="47"/>
  <c r="Q79" i="47" s="1"/>
  <c r="W79" i="47"/>
  <c r="W25" i="47" s="1"/>
  <c r="X25" i="47" s="1"/>
  <c r="C19" i="31" s="1"/>
  <c r="C20" i="37" s="1"/>
  <c r="F20" i="37" s="1"/>
  <c r="H20" i="37" s="1"/>
  <c r="AC79" i="47"/>
  <c r="AC34" i="47" s="1"/>
  <c r="AD34" i="47" s="1"/>
  <c r="F22" i="31" s="1"/>
  <c r="O80" i="47"/>
  <c r="Q80" i="47" s="1"/>
  <c r="W80" i="47"/>
  <c r="W26" i="47" s="1"/>
  <c r="X26" i="47" s="1"/>
  <c r="L19" i="31" s="1"/>
  <c r="AC80" i="47"/>
  <c r="AC26" i="47" s="1"/>
  <c r="O81" i="47"/>
  <c r="Q81" i="47" s="1"/>
  <c r="Q27" i="47" s="1"/>
  <c r="W81" i="47"/>
  <c r="W27" i="47" s="1"/>
  <c r="AC81" i="47"/>
  <c r="AC27" i="47" s="1"/>
  <c r="AD27" i="47" s="1"/>
  <c r="X19" i="31" s="1"/>
  <c r="Z19" i="31" s="1"/>
  <c r="O82" i="47"/>
  <c r="R82" i="47" s="1"/>
  <c r="X82" i="47"/>
  <c r="C26" i="31" s="1"/>
  <c r="C27" i="37" s="1"/>
  <c r="F27" i="37" s="1"/>
  <c r="H27" i="37" s="1"/>
  <c r="AD82" i="47"/>
  <c r="F26" i="31" s="1"/>
  <c r="H26" i="31" s="1"/>
  <c r="O83" i="47"/>
  <c r="R83" i="47" s="1"/>
  <c r="X83" i="47"/>
  <c r="L26" i="31" s="1"/>
  <c r="AD83" i="47"/>
  <c r="O26" i="31" s="1"/>
  <c r="O84" i="47"/>
  <c r="R84" i="47" s="1"/>
  <c r="X84" i="47"/>
  <c r="U26" i="31" s="1"/>
  <c r="AD84" i="47"/>
  <c r="X26" i="31" s="1"/>
  <c r="O85" i="47"/>
  <c r="P85" i="47" s="1"/>
  <c r="V85" i="47"/>
  <c r="O86" i="47"/>
  <c r="P86" i="47" s="1"/>
  <c r="V86" i="47"/>
  <c r="AB86" i="47"/>
  <c r="O87" i="47"/>
  <c r="P87" i="47" s="1"/>
  <c r="W87" i="47"/>
  <c r="V87" i="47"/>
  <c r="AB87" i="47"/>
  <c r="AC87" i="47"/>
  <c r="O88" i="47"/>
  <c r="P88" i="47" s="1"/>
  <c r="O89" i="47"/>
  <c r="P89" i="47" s="1"/>
  <c r="W89" i="47"/>
  <c r="V89" i="47"/>
  <c r="O90" i="47"/>
  <c r="P90" i="47" s="1"/>
  <c r="V90" i="47"/>
  <c r="W90" i="47"/>
  <c r="AB90" i="47"/>
  <c r="O91" i="47"/>
  <c r="P91" i="47" s="1"/>
  <c r="V91" i="47"/>
  <c r="AB91" i="47"/>
  <c r="O92" i="47"/>
  <c r="P92" i="47" s="1"/>
  <c r="V92" i="47"/>
  <c r="AB92" i="47"/>
  <c r="O93" i="47"/>
  <c r="P93" i="47" s="1"/>
  <c r="V93" i="47"/>
  <c r="AB93" i="47"/>
  <c r="O94" i="47"/>
  <c r="P94" i="47" s="1"/>
  <c r="V94" i="47"/>
  <c r="W94" i="47"/>
  <c r="AB94" i="47"/>
  <c r="O95" i="47"/>
  <c r="P95" i="47" s="1"/>
  <c r="V95" i="47"/>
  <c r="AB95" i="47"/>
  <c r="AC95" i="47"/>
  <c r="O96" i="47"/>
  <c r="P96" i="47" s="1"/>
  <c r="V96" i="47"/>
  <c r="O97" i="47"/>
  <c r="V97" i="47"/>
  <c r="W97" i="47"/>
  <c r="AB97" i="47"/>
  <c r="O98" i="47"/>
  <c r="P98" i="47" s="1"/>
  <c r="V98" i="47"/>
  <c r="O99" i="47"/>
  <c r="P99" i="47" s="1"/>
  <c r="AB99" i="47"/>
  <c r="AC99" i="47"/>
  <c r="O100" i="47"/>
  <c r="P100" i="47" s="1"/>
  <c r="V100" i="47"/>
  <c r="AB100" i="47"/>
  <c r="O101" i="47"/>
  <c r="P101" i="47" s="1"/>
  <c r="V101" i="47"/>
  <c r="AB101" i="47"/>
  <c r="O102" i="47"/>
  <c r="P102" i="47" s="1"/>
  <c r="V102" i="47"/>
  <c r="AB102" i="47"/>
  <c r="O103" i="47"/>
  <c r="P103" i="47" s="1"/>
  <c r="AB103" i="47"/>
  <c r="AC103" i="47"/>
  <c r="O104" i="47"/>
  <c r="Q104" i="47" s="1"/>
  <c r="W104" i="47"/>
  <c r="AB104" i="47"/>
  <c r="O105" i="47"/>
  <c r="V105" i="47"/>
  <c r="O106" i="47"/>
  <c r="P106" i="47"/>
  <c r="V106" i="47"/>
  <c r="AB106" i="47"/>
  <c r="O107" i="47"/>
  <c r="P107" i="47" s="1"/>
  <c r="V107" i="47"/>
  <c r="AB107" i="47"/>
  <c r="O108" i="47"/>
  <c r="P108" i="47" s="1"/>
  <c r="V108" i="47"/>
  <c r="AB108" i="47"/>
  <c r="O109" i="47"/>
  <c r="P109" i="47" s="1"/>
  <c r="AB109" i="47"/>
  <c r="AC109" i="47"/>
  <c r="O110" i="47"/>
  <c r="P110" i="47" s="1"/>
  <c r="V110" i="47"/>
  <c r="O111" i="47"/>
  <c r="V111" i="47"/>
  <c r="AB111" i="47"/>
  <c r="O112" i="47"/>
  <c r="P112" i="47" s="1"/>
  <c r="V112" i="47"/>
  <c r="AB112" i="47"/>
  <c r="O113" i="47"/>
  <c r="P113" i="47" s="1"/>
  <c r="V113" i="47"/>
  <c r="AB113" i="47"/>
  <c r="O114" i="47"/>
  <c r="P114" i="47" s="1"/>
  <c r="V114" i="47"/>
  <c r="AB114" i="47"/>
  <c r="O115" i="47"/>
  <c r="P115" i="47" s="1"/>
  <c r="W115" i="47"/>
  <c r="O116" i="47"/>
  <c r="Q116" i="47" s="1"/>
  <c r="W116" i="47"/>
  <c r="V116" i="47"/>
  <c r="AC116" i="47"/>
  <c r="AB116" i="47"/>
  <c r="O117" i="47"/>
  <c r="P117" i="47" s="1"/>
  <c r="V117" i="47"/>
  <c r="W117" i="47"/>
  <c r="AB117" i="47"/>
  <c r="AC117" i="47"/>
  <c r="O118" i="47"/>
  <c r="R118" i="47" s="1"/>
  <c r="X118" i="47"/>
  <c r="C43" i="31" s="1"/>
  <c r="AD118" i="47"/>
  <c r="F43" i="31" s="1"/>
  <c r="H43" i="31" s="1"/>
  <c r="O119" i="47"/>
  <c r="R119" i="47" s="1"/>
  <c r="X119" i="47"/>
  <c r="L43" i="31" s="1"/>
  <c r="AD119" i="47"/>
  <c r="O43" i="31" s="1"/>
  <c r="O120" i="47"/>
  <c r="R120" i="47" s="1"/>
  <c r="X120" i="47"/>
  <c r="U43" i="31" s="1"/>
  <c r="AD120" i="47"/>
  <c r="X43" i="31" s="1"/>
  <c r="O121" i="47"/>
  <c r="R121" i="47" s="1"/>
  <c r="X121" i="47"/>
  <c r="C44" i="31" s="1"/>
  <c r="AD121" i="47"/>
  <c r="F44" i="31" s="1"/>
  <c r="O122" i="47"/>
  <c r="R122" i="47" s="1"/>
  <c r="X122" i="47"/>
  <c r="L44" i="31" s="1"/>
  <c r="AD122" i="47"/>
  <c r="O44" i="31" s="1"/>
  <c r="O123" i="47"/>
  <c r="R123" i="47" s="1"/>
  <c r="X123" i="47"/>
  <c r="U44" i="31" s="1"/>
  <c r="AD123" i="47"/>
  <c r="X44" i="31" s="1"/>
  <c r="Z44" i="31" s="1"/>
  <c r="O124" i="47"/>
  <c r="R124" i="47" s="1"/>
  <c r="X124" i="47"/>
  <c r="C45" i="31" s="1"/>
  <c r="AD124" i="47"/>
  <c r="F45" i="31" s="1"/>
  <c r="O125" i="47"/>
  <c r="R125" i="47" s="1"/>
  <c r="X125" i="47"/>
  <c r="L45" i="31" s="1"/>
  <c r="AD125" i="47"/>
  <c r="O45" i="31" s="1"/>
  <c r="O126" i="47"/>
  <c r="R126" i="47" s="1"/>
  <c r="X126" i="47"/>
  <c r="U45" i="31" s="1"/>
  <c r="AD126" i="47"/>
  <c r="X45" i="31" s="1"/>
  <c r="O127" i="47"/>
  <c r="R127" i="47" s="1"/>
  <c r="X127" i="47"/>
  <c r="C46" i="31" s="1"/>
  <c r="C47" i="37" s="1"/>
  <c r="AD127" i="47"/>
  <c r="F46" i="31" s="1"/>
  <c r="H46" i="31" s="1"/>
  <c r="O128" i="47"/>
  <c r="R128" i="47" s="1"/>
  <c r="X128" i="47"/>
  <c r="L46" i="31" s="1"/>
  <c r="K47" i="37" s="1"/>
  <c r="N47" i="37" s="1"/>
  <c r="P47" i="37" s="1"/>
  <c r="AD128" i="47"/>
  <c r="O46" i="31" s="1"/>
  <c r="Q46" i="31" s="1"/>
  <c r="O129" i="47"/>
  <c r="R129" i="47" s="1"/>
  <c r="X129" i="47"/>
  <c r="U46" i="31" s="1"/>
  <c r="AD129" i="47"/>
  <c r="X46" i="31" s="1"/>
  <c r="Z46" i="31" s="1"/>
  <c r="O130" i="47"/>
  <c r="R130" i="47" s="1"/>
  <c r="X130" i="47"/>
  <c r="C47" i="31" s="1"/>
  <c r="AD130" i="47"/>
  <c r="F47" i="31" s="1"/>
  <c r="H47" i="31" s="1"/>
  <c r="O131" i="47"/>
  <c r="R131" i="47" s="1"/>
  <c r="X131" i="47"/>
  <c r="L47" i="31" s="1"/>
  <c r="AD131" i="47"/>
  <c r="O47" i="31" s="1"/>
  <c r="O132" i="47"/>
  <c r="R132" i="47" s="1"/>
  <c r="X132" i="47"/>
  <c r="U47" i="31" s="1"/>
  <c r="AD132" i="47"/>
  <c r="X47" i="31" s="1"/>
  <c r="Z47" i="31" s="1"/>
  <c r="O133" i="47"/>
  <c r="R133" i="47" s="1"/>
  <c r="X133" i="47"/>
  <c r="C48" i="31" s="1"/>
  <c r="AD133" i="47"/>
  <c r="F48" i="31" s="1"/>
  <c r="O134" i="47"/>
  <c r="R134" i="47" s="1"/>
  <c r="X134" i="47"/>
  <c r="L48" i="31" s="1"/>
  <c r="AD134" i="47"/>
  <c r="O48" i="31" s="1"/>
  <c r="O135" i="47"/>
  <c r="R135" i="47" s="1"/>
  <c r="X135" i="47"/>
  <c r="U48" i="31" s="1"/>
  <c r="AD135" i="47"/>
  <c r="X48" i="31" s="1"/>
  <c r="O136" i="47"/>
  <c r="R136" i="47" s="1"/>
  <c r="X136" i="47"/>
  <c r="AD136" i="47"/>
  <c r="O137" i="47"/>
  <c r="R137" i="47"/>
  <c r="X137" i="47"/>
  <c r="AD137" i="47"/>
  <c r="O138" i="47"/>
  <c r="R138" i="47" s="1"/>
  <c r="X138" i="47"/>
  <c r="AD138" i="47"/>
  <c r="O139" i="47"/>
  <c r="R139" i="47" s="1"/>
  <c r="X139" i="47"/>
  <c r="C61" i="31" s="1"/>
  <c r="AD139" i="47"/>
  <c r="F61" i="31" s="1"/>
  <c r="O140" i="47"/>
  <c r="R140" i="47" s="1"/>
  <c r="X140" i="47"/>
  <c r="AD140" i="47"/>
  <c r="O61" i="31" s="1"/>
  <c r="O141" i="47"/>
  <c r="R141" i="47" s="1"/>
  <c r="X141" i="47"/>
  <c r="U61" i="31" s="1"/>
  <c r="AD141" i="47"/>
  <c r="X61" i="31" s="1"/>
  <c r="Z61" i="31" s="1"/>
  <c r="O142" i="47"/>
  <c r="R142" i="47" s="1"/>
  <c r="X142" i="47"/>
  <c r="C62" i="31" s="1"/>
  <c r="C63" i="37" s="1"/>
  <c r="F63" i="37" s="1"/>
  <c r="H63" i="37" s="1"/>
  <c r="AD142" i="47"/>
  <c r="F62" i="31" s="1"/>
  <c r="H62" i="31" s="1"/>
  <c r="O143" i="47"/>
  <c r="R143" i="47" s="1"/>
  <c r="X143" i="47"/>
  <c r="L62" i="31" s="1"/>
  <c r="AD143" i="47"/>
  <c r="O62" i="31" s="1"/>
  <c r="O144" i="47"/>
  <c r="R144" i="47" s="1"/>
  <c r="X144" i="47"/>
  <c r="U62" i="31" s="1"/>
  <c r="AD144" i="47"/>
  <c r="X62" i="31" s="1"/>
  <c r="Z62" i="31" s="1"/>
  <c r="O145" i="47"/>
  <c r="R145" i="47" s="1"/>
  <c r="X145" i="47"/>
  <c r="C63" i="31" s="1"/>
  <c r="AD145" i="47"/>
  <c r="F63" i="31" s="1"/>
  <c r="O146" i="47"/>
  <c r="R146" i="47" s="1"/>
  <c r="X146" i="47"/>
  <c r="L63" i="31" s="1"/>
  <c r="AD146" i="47"/>
  <c r="O63" i="31" s="1"/>
  <c r="O147" i="47"/>
  <c r="R147" i="47" s="1"/>
  <c r="X147" i="47"/>
  <c r="U63" i="31" s="1"/>
  <c r="AD147" i="47"/>
  <c r="X63" i="31" s="1"/>
  <c r="O148" i="47"/>
  <c r="R148" i="47" s="1"/>
  <c r="X148" i="47"/>
  <c r="C64" i="31" s="1"/>
  <c r="AD148" i="47"/>
  <c r="F64" i="31" s="1"/>
  <c r="H64" i="31" s="1"/>
  <c r="O149" i="47"/>
  <c r="R149" i="47" s="1"/>
  <c r="X149" i="47"/>
  <c r="L64" i="31" s="1"/>
  <c r="AD149" i="47"/>
  <c r="O64" i="31" s="1"/>
  <c r="Q64" i="31" s="1"/>
  <c r="O150" i="47"/>
  <c r="R150" i="47" s="1"/>
  <c r="X150" i="47"/>
  <c r="U64" i="31" s="1"/>
  <c r="S65" i="37" s="1"/>
  <c r="V65" i="37" s="1"/>
  <c r="X65" i="37" s="1"/>
  <c r="AD150" i="47"/>
  <c r="X64" i="31" s="1"/>
  <c r="Z64" i="31" s="1"/>
  <c r="O151" i="47"/>
  <c r="R151" i="47" s="1"/>
  <c r="X151" i="47"/>
  <c r="C29" i="31" s="1"/>
  <c r="AD151" i="47"/>
  <c r="F29" i="31" s="1"/>
  <c r="O152" i="47"/>
  <c r="R152" i="47" s="1"/>
  <c r="X152" i="47"/>
  <c r="L29" i="31" s="1"/>
  <c r="AD152" i="47"/>
  <c r="O29" i="31" s="1"/>
  <c r="O153" i="47"/>
  <c r="R153" i="47" s="1"/>
  <c r="X153" i="47"/>
  <c r="U29" i="31" s="1"/>
  <c r="AD153" i="47"/>
  <c r="X29" i="31" s="1"/>
  <c r="O154" i="47"/>
  <c r="R154" i="47" s="1"/>
  <c r="X154" i="47"/>
  <c r="C31" i="31" s="1"/>
  <c r="AD154" i="47"/>
  <c r="F31" i="31" s="1"/>
  <c r="O155" i="47"/>
  <c r="R155" i="47" s="1"/>
  <c r="X155" i="47"/>
  <c r="L31" i="31" s="1"/>
  <c r="AD155" i="47"/>
  <c r="O31" i="31" s="1"/>
  <c r="Q31" i="31" s="1"/>
  <c r="O156" i="47"/>
  <c r="R156" i="47" s="1"/>
  <c r="X156" i="47"/>
  <c r="U31" i="31" s="1"/>
  <c r="AD156" i="47"/>
  <c r="X31" i="31" s="1"/>
  <c r="Z31" i="31" s="1"/>
  <c r="O157" i="47"/>
  <c r="R157" i="47" s="1"/>
  <c r="AF78" i="31" s="1"/>
  <c r="X157" i="47"/>
  <c r="AD157" i="47"/>
  <c r="O158" i="47"/>
  <c r="R158" i="47" s="1"/>
  <c r="X158" i="47"/>
  <c r="AD158" i="47"/>
  <c r="O159" i="47"/>
  <c r="R159" i="47" s="1"/>
  <c r="X159" i="47"/>
  <c r="AD159" i="47"/>
  <c r="O160" i="47"/>
  <c r="R160" i="47" s="1"/>
  <c r="X160" i="47"/>
  <c r="AD160" i="47"/>
  <c r="O161" i="47"/>
  <c r="R161" i="47" s="1"/>
  <c r="X161" i="47"/>
  <c r="AD161" i="47"/>
  <c r="O162" i="47"/>
  <c r="R162" i="47" s="1"/>
  <c r="X162" i="47"/>
  <c r="AD162" i="47"/>
  <c r="O163" i="47"/>
  <c r="R163" i="47" s="1"/>
  <c r="X163" i="47"/>
  <c r="AD163" i="47"/>
  <c r="O164" i="47"/>
  <c r="R164" i="47" s="1"/>
  <c r="X164" i="47"/>
  <c r="AD164" i="47"/>
  <c r="O165" i="47"/>
  <c r="R165" i="47" s="1"/>
  <c r="X165" i="47"/>
  <c r="AD165" i="47"/>
  <c r="O166" i="47"/>
  <c r="R166" i="47" s="1"/>
  <c r="X166" i="47"/>
  <c r="AD166" i="47"/>
  <c r="O167" i="47"/>
  <c r="R167" i="47" s="1"/>
  <c r="X167" i="47"/>
  <c r="AD167" i="47"/>
  <c r="O168" i="47"/>
  <c r="R168" i="47" s="1"/>
  <c r="X168" i="47"/>
  <c r="AD168" i="47"/>
  <c r="O169" i="47"/>
  <c r="R169" i="47" s="1"/>
  <c r="X169" i="47"/>
  <c r="C50" i="31" s="1"/>
  <c r="AD169" i="47"/>
  <c r="F50" i="31" s="1"/>
  <c r="O170" i="47"/>
  <c r="R170" i="47" s="1"/>
  <c r="X170" i="47"/>
  <c r="L50" i="31" s="1"/>
  <c r="K51" i="37" s="1"/>
  <c r="N51" i="37" s="1"/>
  <c r="P51" i="37" s="1"/>
  <c r="AD170" i="47"/>
  <c r="O50" i="31" s="1"/>
  <c r="Q50" i="31" s="1"/>
  <c r="O171" i="47"/>
  <c r="R171" i="47" s="1"/>
  <c r="X171" i="47"/>
  <c r="U50" i="31" s="1"/>
  <c r="AD171" i="47"/>
  <c r="X50" i="31" s="1"/>
  <c r="O172" i="47"/>
  <c r="R172" i="47" s="1"/>
  <c r="X172" i="47"/>
  <c r="C30" i="31" s="1"/>
  <c r="AD172" i="47"/>
  <c r="F30" i="31" s="1"/>
  <c r="H30" i="31" s="1"/>
  <c r="O173" i="47"/>
  <c r="R173" i="47" s="1"/>
  <c r="X173" i="47"/>
  <c r="L30" i="31" s="1"/>
  <c r="AD173" i="47"/>
  <c r="O30" i="31" s="1"/>
  <c r="O174" i="47"/>
  <c r="R174" i="47" s="1"/>
  <c r="X174" i="47"/>
  <c r="U30" i="31" s="1"/>
  <c r="AD174" i="47"/>
  <c r="X30" i="31" s="1"/>
  <c r="Z30" i="31" s="1"/>
  <c r="O175" i="47"/>
  <c r="R175" i="47" s="1"/>
  <c r="X175" i="47"/>
  <c r="C65" i="31" s="1"/>
  <c r="AD175" i="47"/>
  <c r="F65" i="31" s="1"/>
  <c r="O176" i="47"/>
  <c r="R176" i="47" s="1"/>
  <c r="X176" i="47"/>
  <c r="L65" i="31" s="1"/>
  <c r="AD176" i="47"/>
  <c r="O65" i="31" s="1"/>
  <c r="Q65" i="31" s="1"/>
  <c r="O177" i="47"/>
  <c r="R177" i="47" s="1"/>
  <c r="X177" i="47"/>
  <c r="U65" i="31" s="1"/>
  <c r="AD177" i="47"/>
  <c r="X65" i="31" s="1"/>
  <c r="Z65" i="31" s="1"/>
  <c r="O178" i="47"/>
  <c r="R178" i="47" s="1"/>
  <c r="X178" i="47"/>
  <c r="AD178" i="47"/>
  <c r="O179" i="47"/>
  <c r="R179" i="47" s="1"/>
  <c r="X179" i="47"/>
  <c r="AD179" i="47"/>
  <c r="O180" i="47"/>
  <c r="R180" i="47" s="1"/>
  <c r="X180" i="47"/>
  <c r="AD180" i="47"/>
  <c r="O181" i="47"/>
  <c r="X181" i="47"/>
  <c r="AD181" i="47"/>
  <c r="O182" i="47"/>
  <c r="X182" i="47"/>
  <c r="AD182" i="47"/>
  <c r="O183" i="47"/>
  <c r="X183" i="47"/>
  <c r="AD183" i="47"/>
  <c r="O184" i="47"/>
  <c r="X184" i="47"/>
  <c r="AD184" i="47"/>
  <c r="O185" i="47"/>
  <c r="X185" i="47"/>
  <c r="AD185" i="47"/>
  <c r="O186" i="47"/>
  <c r="X186" i="47"/>
  <c r="AD186" i="47"/>
  <c r="O187" i="47"/>
  <c r="X187" i="47"/>
  <c r="AD187" i="47"/>
  <c r="O188" i="47"/>
  <c r="X188" i="47"/>
  <c r="AD188" i="47"/>
  <c r="O189" i="47"/>
  <c r="X189" i="47"/>
  <c r="AD189" i="47"/>
  <c r="O190" i="47"/>
  <c r="X190" i="47"/>
  <c r="AD190" i="47"/>
  <c r="O191" i="47"/>
  <c r="X191" i="47"/>
  <c r="AD191" i="47"/>
  <c r="O192" i="47"/>
  <c r="X192" i="47"/>
  <c r="AD192" i="47"/>
  <c r="O196" i="47"/>
  <c r="X196" i="47"/>
  <c r="AD196" i="47"/>
  <c r="O197" i="47"/>
  <c r="X197" i="47"/>
  <c r="AD197" i="47"/>
  <c r="O198" i="47"/>
  <c r="Q198" i="47" s="1"/>
  <c r="Q273" i="47" s="1"/>
  <c r="X198" i="47"/>
  <c r="AD198" i="47"/>
  <c r="O199" i="47"/>
  <c r="X199" i="47"/>
  <c r="AD199" i="47"/>
  <c r="O200" i="47"/>
  <c r="X200" i="47"/>
  <c r="AD200" i="47"/>
  <c r="O201" i="47"/>
  <c r="X201" i="47"/>
  <c r="AD201" i="47"/>
  <c r="O202" i="47"/>
  <c r="Q202" i="47" s="1"/>
  <c r="Q277" i="47" s="1"/>
  <c r="X202" i="47"/>
  <c r="AD202" i="47"/>
  <c r="O203" i="47"/>
  <c r="X203" i="47"/>
  <c r="AD203" i="47"/>
  <c r="O204" i="47"/>
  <c r="Q204" i="47" s="1"/>
  <c r="Q279" i="47" s="1"/>
  <c r="X204" i="47"/>
  <c r="AD204" i="47"/>
  <c r="O205" i="47"/>
  <c r="R205" i="47" s="1"/>
  <c r="X205" i="47"/>
  <c r="C67" i="31" s="1"/>
  <c r="AD205" i="47"/>
  <c r="F67" i="31" s="1"/>
  <c r="O206" i="47"/>
  <c r="R206" i="47" s="1"/>
  <c r="X206" i="47"/>
  <c r="L67" i="31" s="1"/>
  <c r="AD206" i="47"/>
  <c r="O67" i="31" s="1"/>
  <c r="Q67" i="31" s="1"/>
  <c r="O207" i="47"/>
  <c r="R207" i="47" s="1"/>
  <c r="X207" i="47"/>
  <c r="U67" i="31" s="1"/>
  <c r="AD207" i="47"/>
  <c r="X67" i="31" s="1"/>
  <c r="O208" i="47"/>
  <c r="R208" i="47" s="1"/>
  <c r="X208" i="47"/>
  <c r="C68" i="31" s="1"/>
  <c r="AD208" i="47"/>
  <c r="F68" i="31" s="1"/>
  <c r="O209" i="47"/>
  <c r="R209" i="47" s="1"/>
  <c r="X209" i="47"/>
  <c r="L68" i="31" s="1"/>
  <c r="K69" i="37" s="1"/>
  <c r="N69" i="37" s="1"/>
  <c r="P69" i="37" s="1"/>
  <c r="AD209" i="47"/>
  <c r="O68" i="31" s="1"/>
  <c r="Q68" i="31" s="1"/>
  <c r="O210" i="47"/>
  <c r="R210" i="47" s="1"/>
  <c r="X210" i="47"/>
  <c r="U68" i="31" s="1"/>
  <c r="S69" i="37" s="1"/>
  <c r="AD210" i="47"/>
  <c r="X68" i="31" s="1"/>
  <c r="Z68" i="31" s="1"/>
  <c r="O211" i="47"/>
  <c r="R211" i="47" s="1"/>
  <c r="X211" i="47"/>
  <c r="C66" i="31" s="1"/>
  <c r="AD211" i="47"/>
  <c r="F66" i="31" s="1"/>
  <c r="O212" i="47"/>
  <c r="R212" i="47" s="1"/>
  <c r="X212" i="47"/>
  <c r="L66" i="31" s="1"/>
  <c r="K67" i="37" s="1"/>
  <c r="M67" i="37" s="1"/>
  <c r="AD212" i="47"/>
  <c r="O66" i="31" s="1"/>
  <c r="Q66" i="31" s="1"/>
  <c r="O213" i="47"/>
  <c r="R213" i="47" s="1"/>
  <c r="X213" i="47"/>
  <c r="U66" i="31" s="1"/>
  <c r="AD213" i="47"/>
  <c r="X66" i="31" s="1"/>
  <c r="Z66" i="31" s="1"/>
  <c r="O214" i="47"/>
  <c r="R214" i="47" s="1"/>
  <c r="X214" i="47"/>
  <c r="C53" i="31" s="1"/>
  <c r="AD214" i="47"/>
  <c r="F53" i="31" s="1"/>
  <c r="O215" i="47"/>
  <c r="R215" i="47" s="1"/>
  <c r="X215" i="47"/>
  <c r="L53" i="31" s="1"/>
  <c r="AD215" i="47"/>
  <c r="O53" i="31" s="1"/>
  <c r="O216" i="47"/>
  <c r="R216" i="47" s="1"/>
  <c r="X216" i="47"/>
  <c r="U53" i="31" s="1"/>
  <c r="AD216" i="47"/>
  <c r="X53" i="31" s="1"/>
  <c r="O217" i="47"/>
  <c r="R217" i="47" s="1"/>
  <c r="X217" i="47"/>
  <c r="C57" i="31" s="1"/>
  <c r="AD217" i="47"/>
  <c r="F57" i="31" s="1"/>
  <c r="H57" i="31" s="1"/>
  <c r="O218" i="47"/>
  <c r="R218" i="47" s="1"/>
  <c r="X218" i="47"/>
  <c r="L57" i="31" s="1"/>
  <c r="AD218" i="47"/>
  <c r="O57" i="31" s="1"/>
  <c r="Q57" i="31" s="1"/>
  <c r="O219" i="47"/>
  <c r="R219" i="47" s="1"/>
  <c r="X219" i="47"/>
  <c r="U57" i="31" s="1"/>
  <c r="S58" i="37" s="1"/>
  <c r="V58" i="37" s="1"/>
  <c r="X58" i="37" s="1"/>
  <c r="AD219" i="47"/>
  <c r="X57" i="31" s="1"/>
  <c r="Z57" i="31" s="1"/>
  <c r="O220" i="47"/>
  <c r="R220" i="47" s="1"/>
  <c r="X220" i="47"/>
  <c r="C54" i="31" s="1"/>
  <c r="AD220" i="47"/>
  <c r="F54" i="31" s="1"/>
  <c r="H54" i="31" s="1"/>
  <c r="O221" i="47"/>
  <c r="R221" i="47" s="1"/>
  <c r="X221" i="47"/>
  <c r="L54" i="31" s="1"/>
  <c r="AD221" i="47"/>
  <c r="O54" i="31" s="1"/>
  <c r="O222" i="47"/>
  <c r="R222" i="47" s="1"/>
  <c r="X222" i="47"/>
  <c r="U54" i="31" s="1"/>
  <c r="AD222" i="47"/>
  <c r="X54" i="31" s="1"/>
  <c r="O223" i="47"/>
  <c r="R223" i="47" s="1"/>
  <c r="X223" i="47"/>
  <c r="C58" i="31" s="1"/>
  <c r="C59" i="37" s="1"/>
  <c r="F59" i="37" s="1"/>
  <c r="AD223" i="47"/>
  <c r="F58" i="31" s="1"/>
  <c r="H58" i="31" s="1"/>
  <c r="O224" i="47"/>
  <c r="R224" i="47" s="1"/>
  <c r="X224" i="47"/>
  <c r="L58" i="31" s="1"/>
  <c r="AD224" i="47"/>
  <c r="O58" i="31" s="1"/>
  <c r="O225" i="47"/>
  <c r="R225" i="47" s="1"/>
  <c r="X225" i="47"/>
  <c r="U58" i="31" s="1"/>
  <c r="AD225" i="47"/>
  <c r="X58" i="31" s="1"/>
  <c r="Z58" i="31" s="1"/>
  <c r="O226" i="47"/>
  <c r="R226" i="47" s="1"/>
  <c r="X226" i="47"/>
  <c r="AD226" i="47"/>
  <c r="F55" i="31" s="1"/>
  <c r="O227" i="47"/>
  <c r="R227" i="47" s="1"/>
  <c r="X227" i="47"/>
  <c r="L55" i="31" s="1"/>
  <c r="AD227" i="47"/>
  <c r="O55" i="31" s="1"/>
  <c r="O228" i="47"/>
  <c r="R228" i="47" s="1"/>
  <c r="X228" i="47"/>
  <c r="U55" i="31" s="1"/>
  <c r="AD228" i="47"/>
  <c r="X55" i="31" s="1"/>
  <c r="O229" i="47"/>
  <c r="R229" i="47" s="1"/>
  <c r="X229" i="47"/>
  <c r="AD229" i="47"/>
  <c r="F59" i="31" s="1"/>
  <c r="O230" i="47"/>
  <c r="R230" i="47" s="1"/>
  <c r="X230" i="47"/>
  <c r="L59" i="31" s="1"/>
  <c r="AD230" i="47"/>
  <c r="O59" i="31" s="1"/>
  <c r="O231" i="47"/>
  <c r="R231" i="47" s="1"/>
  <c r="X231" i="47"/>
  <c r="U59" i="31" s="1"/>
  <c r="AD231" i="47"/>
  <c r="X59" i="31" s="1"/>
  <c r="O232" i="47"/>
  <c r="R232" i="47" s="1"/>
  <c r="X232" i="47"/>
  <c r="C56" i="31" s="1"/>
  <c r="C57" i="37" s="1"/>
  <c r="E57" i="37" s="1"/>
  <c r="AD232" i="47"/>
  <c r="F56" i="31" s="1"/>
  <c r="H56" i="31" s="1"/>
  <c r="O233" i="47"/>
  <c r="R233" i="47" s="1"/>
  <c r="X233" i="47"/>
  <c r="L56" i="31" s="1"/>
  <c r="AD233" i="47"/>
  <c r="O56" i="31" s="1"/>
  <c r="O234" i="47"/>
  <c r="R234" i="47" s="1"/>
  <c r="X234" i="47"/>
  <c r="AD234" i="47"/>
  <c r="O235" i="47"/>
  <c r="R235" i="47" s="1"/>
  <c r="X235" i="47"/>
  <c r="C60" i="31" s="1"/>
  <c r="AD235" i="47"/>
  <c r="F60" i="31" s="1"/>
  <c r="H60" i="31" s="1"/>
  <c r="O236" i="47"/>
  <c r="R236" i="47" s="1"/>
  <c r="X236" i="47"/>
  <c r="L60" i="31" s="1"/>
  <c r="AD236" i="47"/>
  <c r="O237" i="47"/>
  <c r="R237" i="47" s="1"/>
  <c r="X237" i="47"/>
  <c r="AD237" i="47"/>
  <c r="X60" i="31" s="1"/>
  <c r="Z60" i="31" s="1"/>
  <c r="O238" i="47"/>
  <c r="R238" i="47" s="1"/>
  <c r="X238" i="47"/>
  <c r="C88" i="37" s="1"/>
  <c r="F88" i="37" s="1"/>
  <c r="H88" i="37" s="1"/>
  <c r="AD238" i="47"/>
  <c r="F89" i="31" s="1"/>
  <c r="O239" i="47"/>
  <c r="R239" i="47" s="1"/>
  <c r="X239" i="47"/>
  <c r="AD239" i="47"/>
  <c r="O240" i="47"/>
  <c r="R240" i="47" s="1"/>
  <c r="X240" i="47"/>
  <c r="AD240" i="47"/>
  <c r="X89" i="31" s="1"/>
  <c r="Z89" i="31" s="1"/>
  <c r="O241" i="47"/>
  <c r="R241" i="47" s="1"/>
  <c r="X241" i="47"/>
  <c r="C49" i="31" s="1"/>
  <c r="AD241" i="47"/>
  <c r="F49" i="31" s="1"/>
  <c r="H49" i="31" s="1"/>
  <c r="O242" i="47"/>
  <c r="R242" i="47" s="1"/>
  <c r="X242" i="47"/>
  <c r="L49" i="31" s="1"/>
  <c r="AD242" i="47"/>
  <c r="O49" i="31" s="1"/>
  <c r="Q49" i="31" s="1"/>
  <c r="O243" i="47"/>
  <c r="R243" i="47" s="1"/>
  <c r="X243" i="47"/>
  <c r="U49" i="31" s="1"/>
  <c r="AD243" i="47"/>
  <c r="X49" i="31" s="1"/>
  <c r="O244" i="47"/>
  <c r="R244" i="47" s="1"/>
  <c r="X244" i="47"/>
  <c r="C89" i="37" s="1"/>
  <c r="F89" i="37" s="1"/>
  <c r="H89" i="37" s="1"/>
  <c r="AD244" i="47"/>
  <c r="F90" i="31" s="1"/>
  <c r="H90" i="31" s="1"/>
  <c r="O245" i="47"/>
  <c r="R245" i="47" s="1"/>
  <c r="X245" i="47"/>
  <c r="K89" i="37" s="1"/>
  <c r="N89" i="37" s="1"/>
  <c r="P89" i="37" s="1"/>
  <c r="AD245" i="47"/>
  <c r="O246" i="47"/>
  <c r="R246" i="47" s="1"/>
  <c r="X246" i="47"/>
  <c r="S89" i="37" s="1"/>
  <c r="AD246" i="47"/>
  <c r="X90" i="31" s="1"/>
  <c r="Z90" i="31" s="1"/>
  <c r="O247" i="47"/>
  <c r="R247" i="47" s="1"/>
  <c r="X247" i="47"/>
  <c r="AD247" i="47"/>
  <c r="F92" i="31" s="1"/>
  <c r="H92" i="31" s="1"/>
  <c r="O248" i="47"/>
  <c r="R248" i="47" s="1"/>
  <c r="X248" i="47"/>
  <c r="AD248" i="47"/>
  <c r="O249" i="47"/>
  <c r="R249" i="47" s="1"/>
  <c r="X249" i="47"/>
  <c r="U92" i="31" s="1"/>
  <c r="AD249" i="47"/>
  <c r="X92" i="31" s="1"/>
  <c r="O250" i="47"/>
  <c r="R250" i="47" s="1"/>
  <c r="X250" i="47"/>
  <c r="C91" i="31" s="1"/>
  <c r="E91" i="31" s="1"/>
  <c r="AD250" i="47"/>
  <c r="F91" i="31" s="1"/>
  <c r="H91" i="31" s="1"/>
  <c r="O251" i="47"/>
  <c r="R251" i="47" s="1"/>
  <c r="X251" i="47"/>
  <c r="L91" i="31" s="1"/>
  <c r="N91" i="31" s="1"/>
  <c r="AD251" i="47"/>
  <c r="O252" i="47"/>
  <c r="R252" i="47" s="1"/>
  <c r="X252" i="47"/>
  <c r="U91" i="31" s="1"/>
  <c r="W91" i="31" s="1"/>
  <c r="AD252" i="47"/>
  <c r="X91" i="31" s="1"/>
  <c r="Z91" i="31" s="1"/>
  <c r="O253" i="47"/>
  <c r="O254" i="47"/>
  <c r="O255" i="47"/>
  <c r="O256" i="47"/>
  <c r="X256" i="47"/>
  <c r="C36" i="31" s="1"/>
  <c r="AD256" i="47"/>
  <c r="F36" i="31" s="1"/>
  <c r="O257" i="47"/>
  <c r="X257" i="47"/>
  <c r="L36" i="31" s="1"/>
  <c r="AD257" i="47"/>
  <c r="O36" i="31" s="1"/>
  <c r="Q36" i="31" s="1"/>
  <c r="O258" i="47"/>
  <c r="X258" i="47"/>
  <c r="U36" i="31" s="1"/>
  <c r="AD258" i="47"/>
  <c r="X36" i="31" s="1"/>
  <c r="Z36" i="31" s="1"/>
  <c r="O262" i="47"/>
  <c r="O263" i="47"/>
  <c r="O264" i="47"/>
  <c r="O268" i="47"/>
  <c r="X268" i="47"/>
  <c r="C39" i="31" s="1"/>
  <c r="AD268" i="47"/>
  <c r="F39" i="31" s="1"/>
  <c r="O269" i="47"/>
  <c r="X269" i="47"/>
  <c r="L39" i="31" s="1"/>
  <c r="AD269" i="47"/>
  <c r="O39" i="31" s="1"/>
  <c r="O270" i="47"/>
  <c r="X270" i="47"/>
  <c r="U39" i="31" s="1"/>
  <c r="AD270" i="47"/>
  <c r="X39" i="31" s="1"/>
  <c r="O271" i="47"/>
  <c r="X271" i="47"/>
  <c r="C40" i="31" s="1"/>
  <c r="AD271" i="47"/>
  <c r="F40" i="31" s="1"/>
  <c r="O272" i="47"/>
  <c r="X272" i="47"/>
  <c r="L40" i="31" s="1"/>
  <c r="K41" i="37" s="1"/>
  <c r="M41" i="37" s="1"/>
  <c r="AD272" i="47"/>
  <c r="O40" i="31" s="1"/>
  <c r="Q40" i="31" s="1"/>
  <c r="O273" i="47"/>
  <c r="X273" i="47"/>
  <c r="U40" i="31" s="1"/>
  <c r="S41" i="37" s="1"/>
  <c r="V41" i="37" s="1"/>
  <c r="X41" i="37" s="1"/>
  <c r="AD273" i="47"/>
  <c r="X40" i="31" s="1"/>
  <c r="Z40" i="31" s="1"/>
  <c r="O274" i="47"/>
  <c r="X274" i="47"/>
  <c r="C41" i="31" s="1"/>
  <c r="AD274" i="47"/>
  <c r="F41" i="31" s="1"/>
  <c r="O275" i="47"/>
  <c r="X275" i="47"/>
  <c r="L41" i="31" s="1"/>
  <c r="AD275" i="47"/>
  <c r="O41" i="31" s="1"/>
  <c r="O276" i="47"/>
  <c r="X276" i="47"/>
  <c r="U41" i="31" s="1"/>
  <c r="S42" i="37" s="1"/>
  <c r="V42" i="37" s="1"/>
  <c r="X42" i="37" s="1"/>
  <c r="AD276" i="47"/>
  <c r="X41" i="31" s="1"/>
  <c r="Z41" i="31" s="1"/>
  <c r="O277" i="47"/>
  <c r="X277" i="47"/>
  <c r="C42" i="31" s="1"/>
  <c r="AD277" i="47"/>
  <c r="F42" i="31" s="1"/>
  <c r="O278" i="47"/>
  <c r="X278" i="47"/>
  <c r="L42" i="31" s="1"/>
  <c r="AD278" i="47"/>
  <c r="O42" i="31" s="1"/>
  <c r="Q42" i="31" s="1"/>
  <c r="O279" i="47"/>
  <c r="X279" i="47"/>
  <c r="AD279" i="47"/>
  <c r="X42" i="31" s="1"/>
  <c r="Z42" i="31" s="1"/>
  <c r="O280" i="47"/>
  <c r="Q280" i="47" s="1"/>
  <c r="W280" i="47"/>
  <c r="W253" i="47" s="1"/>
  <c r="X253" i="47" s="1"/>
  <c r="C34" i="31" s="1"/>
  <c r="AC280" i="47"/>
  <c r="AC253" i="47" s="1"/>
  <c r="O281" i="47"/>
  <c r="Q281" i="47" s="1"/>
  <c r="W281" i="47"/>
  <c r="W254" i="47" s="1"/>
  <c r="X254" i="47" s="1"/>
  <c r="L34" i="31" s="1"/>
  <c r="AC281" i="47"/>
  <c r="AC254" i="47" s="1"/>
  <c r="O282" i="47"/>
  <c r="Q282" i="47" s="1"/>
  <c r="W282" i="47"/>
  <c r="W255" i="47" s="1"/>
  <c r="X255" i="47" s="1"/>
  <c r="U34" i="31" s="1"/>
  <c r="S35" i="37" s="1"/>
  <c r="V35" i="37" s="1"/>
  <c r="X35" i="37" s="1"/>
  <c r="AC282" i="47"/>
  <c r="AC255" i="47" s="1"/>
  <c r="O283" i="47"/>
  <c r="Q283" i="47" s="1"/>
  <c r="W283" i="47"/>
  <c r="W262" i="47" s="1"/>
  <c r="AC283" i="47"/>
  <c r="AC262" i="47" s="1"/>
  <c r="O284" i="47"/>
  <c r="Q284" i="47" s="1"/>
  <c r="W284" i="47"/>
  <c r="W263" i="47" s="1"/>
  <c r="AC284" i="47"/>
  <c r="AC263" i="47" s="1"/>
  <c r="O285" i="47"/>
  <c r="Q285" i="47" s="1"/>
  <c r="W285" i="47"/>
  <c r="AC285" i="47"/>
  <c r="O286" i="47"/>
  <c r="R286" i="47" s="1"/>
  <c r="X286" i="47"/>
  <c r="AD286" i="47"/>
  <c r="O287" i="47"/>
  <c r="R287" i="47" s="1"/>
  <c r="X287" i="47"/>
  <c r="AD287" i="47"/>
  <c r="O288" i="47"/>
  <c r="R288" i="47" s="1"/>
  <c r="X288" i="47"/>
  <c r="AD288" i="47"/>
  <c r="H12" i="46"/>
  <c r="J12" i="46"/>
  <c r="Q12" i="46"/>
  <c r="H13" i="46"/>
  <c r="J13" i="46"/>
  <c r="Q13" i="46"/>
  <c r="C44" i="36" s="1"/>
  <c r="E44" i="36" s="1"/>
  <c r="G44" i="36" s="1"/>
  <c r="H14" i="46"/>
  <c r="J14" i="46"/>
  <c r="Q14" i="46"/>
  <c r="C45" i="36" s="1"/>
  <c r="E45" i="36" s="1"/>
  <c r="G45" i="36" s="1"/>
  <c r="H15" i="46"/>
  <c r="J15" i="46"/>
  <c r="Q15" i="46"/>
  <c r="C46" i="36" s="1"/>
  <c r="H16" i="46"/>
  <c r="J16" i="46"/>
  <c r="Q16" i="46"/>
  <c r="C47" i="36" s="1"/>
  <c r="E47" i="36" s="1"/>
  <c r="G47" i="36" s="1"/>
  <c r="H17" i="46"/>
  <c r="J17" i="46"/>
  <c r="Q17" i="46"/>
  <c r="C48" i="36" s="1"/>
  <c r="E48" i="36" s="1"/>
  <c r="G48" i="36" s="1"/>
  <c r="H18" i="46"/>
  <c r="J18" i="46"/>
  <c r="Q18" i="46"/>
  <c r="C49" i="36" s="1"/>
  <c r="E49" i="36" s="1"/>
  <c r="G49" i="36" s="1"/>
  <c r="H19" i="46"/>
  <c r="J19" i="46"/>
  <c r="Q19" i="46"/>
  <c r="C50" i="36" s="1"/>
  <c r="E50" i="36" s="1"/>
  <c r="G50" i="36" s="1"/>
  <c r="H20" i="46"/>
  <c r="J20" i="46"/>
  <c r="Q20" i="46"/>
  <c r="C51" i="36" s="1"/>
  <c r="E51" i="36" s="1"/>
  <c r="G51" i="36" s="1"/>
  <c r="H21" i="46"/>
  <c r="J21" i="46"/>
  <c r="Q21" i="46"/>
  <c r="C52" i="36" s="1"/>
  <c r="E52" i="36" s="1"/>
  <c r="G52" i="36" s="1"/>
  <c r="H22" i="46"/>
  <c r="J22" i="46"/>
  <c r="Q22" i="46"/>
  <c r="C53" i="36" s="1"/>
  <c r="E53" i="36" s="1"/>
  <c r="G53" i="36" s="1"/>
  <c r="H23" i="46"/>
  <c r="J23" i="46"/>
  <c r="Q23" i="46"/>
  <c r="C54" i="36" s="1"/>
  <c r="E54" i="36" s="1"/>
  <c r="G54" i="36" s="1"/>
  <c r="C25" i="46"/>
  <c r="D25" i="46"/>
  <c r="E25" i="46"/>
  <c r="F25" i="46"/>
  <c r="G25" i="46"/>
  <c r="L25" i="46"/>
  <c r="M25" i="46"/>
  <c r="N25" i="46"/>
  <c r="O25" i="46"/>
  <c r="P25" i="46"/>
  <c r="A35" i="46"/>
  <c r="H35" i="46"/>
  <c r="C14" i="36" s="1"/>
  <c r="E14" i="36" s="1"/>
  <c r="Q35" i="46"/>
  <c r="A36" i="46"/>
  <c r="H36" i="46"/>
  <c r="C15" i="36" s="1"/>
  <c r="Q36" i="46"/>
  <c r="A37" i="46"/>
  <c r="H37" i="46"/>
  <c r="C16" i="36" s="1"/>
  <c r="Q37" i="46"/>
  <c r="A38" i="46"/>
  <c r="H38" i="46"/>
  <c r="C17" i="36" s="1"/>
  <c r="Q38" i="46"/>
  <c r="A39" i="46"/>
  <c r="H39" i="46"/>
  <c r="C18" i="36" s="1"/>
  <c r="E18" i="36" s="1"/>
  <c r="Q39" i="46"/>
  <c r="A40" i="46"/>
  <c r="H40" i="46"/>
  <c r="C19" i="36" s="1"/>
  <c r="Q40" i="46"/>
  <c r="A41" i="46"/>
  <c r="H41" i="46"/>
  <c r="C20" i="36" s="1"/>
  <c r="Q41" i="46"/>
  <c r="A42" i="46"/>
  <c r="H42" i="46"/>
  <c r="C21" i="36" s="1"/>
  <c r="Q42" i="46"/>
  <c r="A43" i="46"/>
  <c r="H43" i="46"/>
  <c r="Q43" i="46"/>
  <c r="A44" i="46"/>
  <c r="H44" i="46"/>
  <c r="C23" i="36" s="1"/>
  <c r="E23" i="36" s="1"/>
  <c r="Q44" i="46"/>
  <c r="A45" i="46"/>
  <c r="H45" i="46"/>
  <c r="C24" i="36" s="1"/>
  <c r="E24" i="36" s="1"/>
  <c r="Q45" i="46"/>
  <c r="A46" i="46"/>
  <c r="H46" i="46"/>
  <c r="C25" i="36" s="1"/>
  <c r="E25" i="36" s="1"/>
  <c r="Q46" i="46"/>
  <c r="C48" i="46"/>
  <c r="D48" i="46"/>
  <c r="E48" i="46"/>
  <c r="F48" i="46"/>
  <c r="G48" i="46"/>
  <c r="L48" i="46"/>
  <c r="M48" i="46"/>
  <c r="N48" i="46"/>
  <c r="O48" i="46"/>
  <c r="P48" i="46"/>
  <c r="H58" i="46"/>
  <c r="H59" i="46"/>
  <c r="H60" i="46"/>
  <c r="H61" i="46"/>
  <c r="Q61" i="46"/>
  <c r="H62" i="46"/>
  <c r="Q62" i="46"/>
  <c r="H63" i="46"/>
  <c r="Q63" i="46"/>
  <c r="H64" i="46"/>
  <c r="Q64" i="46"/>
  <c r="H65" i="46"/>
  <c r="Q65" i="46"/>
  <c r="H66" i="46"/>
  <c r="Q66" i="46"/>
  <c r="H67" i="46"/>
  <c r="Q67" i="46"/>
  <c r="H68" i="46"/>
  <c r="Q68" i="46"/>
  <c r="H69" i="46"/>
  <c r="Q69" i="46"/>
  <c r="C71" i="46"/>
  <c r="D71" i="46"/>
  <c r="E71" i="46"/>
  <c r="F71" i="46"/>
  <c r="G71" i="46"/>
  <c r="L71" i="46"/>
  <c r="L75" i="46" s="1"/>
  <c r="M71" i="46"/>
  <c r="N71" i="46"/>
  <c r="O71" i="46"/>
  <c r="P71" i="46"/>
  <c r="H82" i="46"/>
  <c r="Q82" i="46"/>
  <c r="H83" i="46"/>
  <c r="Q83" i="46"/>
  <c r="Q95" i="46" s="1"/>
  <c r="H84" i="46"/>
  <c r="Q84" i="46"/>
  <c r="H85" i="46"/>
  <c r="Q85" i="46"/>
  <c r="H86" i="46"/>
  <c r="Q86" i="46"/>
  <c r="H87" i="46"/>
  <c r="Q87" i="46"/>
  <c r="H88" i="46"/>
  <c r="Q88" i="46"/>
  <c r="H89" i="46"/>
  <c r="Q89" i="46"/>
  <c r="H90" i="46"/>
  <c r="Q90" i="46"/>
  <c r="H91" i="46"/>
  <c r="Q91" i="46"/>
  <c r="H92" i="46"/>
  <c r="Q92" i="46"/>
  <c r="H93" i="46"/>
  <c r="Q93" i="46"/>
  <c r="C95" i="46"/>
  <c r="D95" i="46"/>
  <c r="E95" i="46"/>
  <c r="F95" i="46"/>
  <c r="G95" i="46"/>
  <c r="L95" i="46"/>
  <c r="L99" i="46" s="1"/>
  <c r="M95" i="46"/>
  <c r="N95" i="46"/>
  <c r="O95" i="46"/>
  <c r="P95" i="46"/>
  <c r="F14" i="45"/>
  <c r="T14" i="45"/>
  <c r="F15" i="45"/>
  <c r="T15" i="45"/>
  <c r="F16" i="45"/>
  <c r="T16" i="45"/>
  <c r="F17" i="45"/>
  <c r="T17" i="45"/>
  <c r="F18" i="45"/>
  <c r="T18" i="45"/>
  <c r="C20" i="45"/>
  <c r="D20" i="45"/>
  <c r="D16" i="6" s="1"/>
  <c r="E20" i="45"/>
  <c r="E16" i="6" s="1"/>
  <c r="H20" i="45"/>
  <c r="J20" i="45"/>
  <c r="K20" i="45"/>
  <c r="L20" i="45"/>
  <c r="M20" i="45"/>
  <c r="C29" i="6" s="1"/>
  <c r="N20" i="45"/>
  <c r="D29" i="6" s="1"/>
  <c r="D27" i="6" s="1"/>
  <c r="O20" i="45"/>
  <c r="E29" i="6" s="1"/>
  <c r="P20" i="45"/>
  <c r="F29" i="6" s="1"/>
  <c r="F27" i="6" s="1"/>
  <c r="Q20" i="45"/>
  <c r="G29" i="6" s="1"/>
  <c r="R20" i="45"/>
  <c r="S20" i="45"/>
  <c r="I29" i="6" s="1"/>
  <c r="O9" i="44"/>
  <c r="O10" i="44"/>
  <c r="O11" i="44"/>
  <c r="O12" i="44"/>
  <c r="O13" i="44"/>
  <c r="O18" i="44"/>
  <c r="O19" i="44"/>
  <c r="A59" i="5"/>
  <c r="A14" i="27"/>
  <c r="A16" i="5"/>
  <c r="O26" i="44"/>
  <c r="O27" i="44"/>
  <c r="O28" i="44"/>
  <c r="O29" i="44"/>
  <c r="O30" i="44"/>
  <c r="C13" i="5"/>
  <c r="C14" i="5"/>
  <c r="C15" i="5"/>
  <c r="C16" i="5"/>
  <c r="C17" i="5"/>
  <c r="D17" i="5" s="1"/>
  <c r="H17" i="5" s="1"/>
  <c r="I17" i="5" s="1"/>
  <c r="O35" i="44"/>
  <c r="O36" i="44"/>
  <c r="O43" i="44"/>
  <c r="O44" i="44"/>
  <c r="O45" i="44"/>
  <c r="O46" i="44"/>
  <c r="O47" i="44"/>
  <c r="C59" i="5"/>
  <c r="C61" i="5"/>
  <c r="C63" i="5"/>
  <c r="D63" i="5" s="1"/>
  <c r="H63" i="5" s="1"/>
  <c r="I63" i="5" s="1"/>
  <c r="O52" i="44"/>
  <c r="O53" i="44"/>
  <c r="O61" i="44"/>
  <c r="O62" i="44"/>
  <c r="O63" i="44"/>
  <c r="O64" i="44"/>
  <c r="O65" i="44"/>
  <c r="C36" i="5"/>
  <c r="C38" i="5"/>
  <c r="C39" i="5"/>
  <c r="D39" i="5" s="1"/>
  <c r="H39" i="5" s="1"/>
  <c r="I39" i="5" s="1"/>
  <c r="O70" i="44"/>
  <c r="O71" i="44"/>
  <c r="D37" i="43"/>
  <c r="E33" i="43" s="1"/>
  <c r="D49" i="43"/>
  <c r="E43" i="43" s="1"/>
  <c r="F10" i="42"/>
  <c r="F11" i="42"/>
  <c r="F12" i="42"/>
  <c r="F13" i="42"/>
  <c r="F14" i="42"/>
  <c r="F15" i="42"/>
  <c r="F16" i="42"/>
  <c r="F20" i="42"/>
  <c r="F21" i="42"/>
  <c r="F24" i="42"/>
  <c r="F25" i="42"/>
  <c r="F26" i="42"/>
  <c r="F32" i="42"/>
  <c r="F34" i="42"/>
  <c r="F35" i="42"/>
  <c r="F39" i="42"/>
  <c r="F40" i="42"/>
  <c r="F41" i="42"/>
  <c r="F42" i="42"/>
  <c r="F43" i="42"/>
  <c r="F44" i="42"/>
  <c r="F45" i="42"/>
  <c r="F46" i="42"/>
  <c r="F47" i="42"/>
  <c r="F51" i="42"/>
  <c r="F52" i="42"/>
  <c r="F53" i="42"/>
  <c r="F54" i="42"/>
  <c r="F55" i="42"/>
  <c r="F56" i="42"/>
  <c r="F57" i="42"/>
  <c r="F58" i="42"/>
  <c r="F59" i="42"/>
  <c r="F60" i="42"/>
  <c r="F61" i="42"/>
  <c r="F62" i="42"/>
  <c r="F63" i="42"/>
  <c r="F64" i="42"/>
  <c r="F65" i="42"/>
  <c r="F72" i="42"/>
  <c r="F73" i="42"/>
  <c r="F76" i="42"/>
  <c r="F77" i="42"/>
  <c r="F78" i="42"/>
  <c r="F79" i="42"/>
  <c r="F80" i="42"/>
  <c r="F81" i="42"/>
  <c r="A1" i="41"/>
  <c r="G14" i="41"/>
  <c r="G15" i="41"/>
  <c r="G16" i="41"/>
  <c r="G17" i="41"/>
  <c r="E19" i="41"/>
  <c r="F19" i="41"/>
  <c r="G29" i="41"/>
  <c r="A1" i="40"/>
  <c r="A12" i="40"/>
  <c r="C12" i="40"/>
  <c r="C13" i="40"/>
  <c r="A15" i="40"/>
  <c r="A34" i="40"/>
  <c r="A1" i="39"/>
  <c r="B11" i="39"/>
  <c r="D11" i="39" s="1"/>
  <c r="C11" i="39"/>
  <c r="G11" i="39"/>
  <c r="L11" i="39" s="1"/>
  <c r="H11" i="39"/>
  <c r="I11" i="39"/>
  <c r="M11" i="39"/>
  <c r="N11" i="39"/>
  <c r="B12" i="39"/>
  <c r="D12" i="39" s="1"/>
  <c r="C12" i="39"/>
  <c r="G12" i="39"/>
  <c r="L12" i="39" s="1"/>
  <c r="H12" i="39"/>
  <c r="J12" i="39" s="1"/>
  <c r="I12" i="39"/>
  <c r="M12" i="39"/>
  <c r="N12" i="39"/>
  <c r="B13" i="39"/>
  <c r="D13" i="39" s="1"/>
  <c r="C13" i="39"/>
  <c r="G13" i="39"/>
  <c r="L13" i="39" s="1"/>
  <c r="H13" i="39"/>
  <c r="J13" i="39" s="1"/>
  <c r="I13" i="39"/>
  <c r="M13" i="39"/>
  <c r="N13" i="39"/>
  <c r="B14" i="39"/>
  <c r="D14" i="39" s="1"/>
  <c r="C14" i="39"/>
  <c r="G14" i="39"/>
  <c r="L14" i="39" s="1"/>
  <c r="H14" i="39"/>
  <c r="J14" i="39"/>
  <c r="I14" i="39"/>
  <c r="M14" i="39"/>
  <c r="N14" i="39"/>
  <c r="B15" i="39"/>
  <c r="C15" i="39"/>
  <c r="G15" i="39"/>
  <c r="L15" i="39" s="1"/>
  <c r="H15" i="39"/>
  <c r="J15" i="39" s="1"/>
  <c r="I15" i="39"/>
  <c r="M15" i="39"/>
  <c r="N15" i="39"/>
  <c r="B16" i="39"/>
  <c r="D16" i="39" s="1"/>
  <c r="C16" i="39"/>
  <c r="G16" i="39"/>
  <c r="L16" i="39" s="1"/>
  <c r="H16" i="39"/>
  <c r="J16" i="39" s="1"/>
  <c r="I16" i="39"/>
  <c r="M16" i="39"/>
  <c r="N16" i="39"/>
  <c r="B17" i="39"/>
  <c r="C17" i="39"/>
  <c r="G17" i="39"/>
  <c r="L17" i="39" s="1"/>
  <c r="H17" i="39"/>
  <c r="J17" i="39" s="1"/>
  <c r="I17" i="39"/>
  <c r="M17" i="39"/>
  <c r="N17" i="39"/>
  <c r="B18" i="39"/>
  <c r="D18" i="39" s="1"/>
  <c r="C18" i="39"/>
  <c r="G18" i="39"/>
  <c r="L18" i="39" s="1"/>
  <c r="H18" i="39"/>
  <c r="J18" i="39" s="1"/>
  <c r="I18" i="39"/>
  <c r="M18" i="39"/>
  <c r="N18" i="39"/>
  <c r="B19" i="39"/>
  <c r="D19" i="39" s="1"/>
  <c r="C19" i="39"/>
  <c r="G19" i="39"/>
  <c r="L19" i="39" s="1"/>
  <c r="H19" i="39"/>
  <c r="J19" i="39" s="1"/>
  <c r="I19" i="39"/>
  <c r="M19" i="39"/>
  <c r="N19" i="39"/>
  <c r="B20" i="39"/>
  <c r="D20" i="39" s="1"/>
  <c r="C20" i="39"/>
  <c r="G20" i="39"/>
  <c r="L20" i="39" s="1"/>
  <c r="H20" i="39"/>
  <c r="J20" i="39" s="1"/>
  <c r="I20" i="39"/>
  <c r="M20" i="39"/>
  <c r="N20" i="39"/>
  <c r="B21" i="39"/>
  <c r="D21" i="39"/>
  <c r="C21" i="39"/>
  <c r="G21" i="39"/>
  <c r="L21" i="39" s="1"/>
  <c r="H21" i="39"/>
  <c r="J21" i="39" s="1"/>
  <c r="I21" i="39"/>
  <c r="M21" i="39"/>
  <c r="N21" i="39"/>
  <c r="B22" i="39"/>
  <c r="D22" i="39" s="1"/>
  <c r="C22" i="39"/>
  <c r="G22" i="39"/>
  <c r="L22" i="39" s="1"/>
  <c r="H22" i="39"/>
  <c r="J22" i="39" s="1"/>
  <c r="I22" i="39"/>
  <c r="M22" i="39"/>
  <c r="N22" i="39"/>
  <c r="E24" i="39"/>
  <c r="D26" i="39"/>
  <c r="G26" i="39"/>
  <c r="J26" i="39"/>
  <c r="L26" i="39"/>
  <c r="O26" i="39"/>
  <c r="D27" i="39"/>
  <c r="G27" i="39"/>
  <c r="L27" i="39" s="1"/>
  <c r="J27" i="39"/>
  <c r="O27" i="39"/>
  <c r="D28" i="39"/>
  <c r="G28" i="39"/>
  <c r="L28" i="39" s="1"/>
  <c r="J28" i="39"/>
  <c r="O28" i="39"/>
  <c r="R41" i="39"/>
  <c r="Q42" i="39"/>
  <c r="R42" i="39"/>
  <c r="B43" i="39"/>
  <c r="C43" i="39"/>
  <c r="E43" i="39"/>
  <c r="F43" i="39"/>
  <c r="H43" i="39"/>
  <c r="I43" i="39"/>
  <c r="Q43" i="39"/>
  <c r="R43" i="39"/>
  <c r="B44" i="39"/>
  <c r="C44" i="39"/>
  <c r="E44" i="39"/>
  <c r="F44" i="39"/>
  <c r="G44" i="39" s="1"/>
  <c r="H44" i="39"/>
  <c r="I44" i="39"/>
  <c r="B45" i="39"/>
  <c r="C45" i="39"/>
  <c r="E45" i="39"/>
  <c r="F45" i="39"/>
  <c r="H45" i="39"/>
  <c r="I45" i="39"/>
  <c r="R45" i="39"/>
  <c r="B46" i="39"/>
  <c r="C46" i="39"/>
  <c r="E46" i="39"/>
  <c r="F46" i="39"/>
  <c r="H46" i="39"/>
  <c r="I46" i="39"/>
  <c r="B47" i="39"/>
  <c r="C47" i="39"/>
  <c r="E47" i="39"/>
  <c r="F47" i="39"/>
  <c r="H47" i="39"/>
  <c r="I47" i="39"/>
  <c r="B48" i="39"/>
  <c r="C48" i="39"/>
  <c r="E48" i="39"/>
  <c r="F48" i="39"/>
  <c r="H48" i="39"/>
  <c r="I48" i="39"/>
  <c r="B49" i="39"/>
  <c r="C49" i="39"/>
  <c r="E49" i="39"/>
  <c r="F49" i="39"/>
  <c r="H49" i="39"/>
  <c r="I49" i="39"/>
  <c r="B50" i="39"/>
  <c r="C50" i="39"/>
  <c r="E50" i="39"/>
  <c r="F50" i="39"/>
  <c r="H50" i="39"/>
  <c r="I50" i="39"/>
  <c r="B51" i="39"/>
  <c r="C51" i="39"/>
  <c r="E51" i="39"/>
  <c r="F51" i="39"/>
  <c r="H51" i="39"/>
  <c r="I51" i="39"/>
  <c r="B52" i="39"/>
  <c r="C52" i="39"/>
  <c r="E52" i="39"/>
  <c r="F52" i="39"/>
  <c r="H52" i="39"/>
  <c r="I52" i="39"/>
  <c r="B53" i="39"/>
  <c r="C53" i="39"/>
  <c r="E53" i="39"/>
  <c r="F53" i="39"/>
  <c r="H53" i="39"/>
  <c r="I53" i="39"/>
  <c r="B54" i="39"/>
  <c r="C54" i="39"/>
  <c r="E54" i="39"/>
  <c r="F54" i="39"/>
  <c r="H54" i="39"/>
  <c r="I54" i="39"/>
  <c r="B55" i="39"/>
  <c r="C55" i="39"/>
  <c r="E55" i="39"/>
  <c r="F55" i="39"/>
  <c r="H55" i="39"/>
  <c r="I55" i="39"/>
  <c r="B56" i="39"/>
  <c r="C56" i="39"/>
  <c r="E56" i="39"/>
  <c r="F56" i="39"/>
  <c r="H56" i="39"/>
  <c r="I56" i="39"/>
  <c r="B57" i="39"/>
  <c r="C57" i="39"/>
  <c r="E57" i="39"/>
  <c r="F57" i="39"/>
  <c r="H57" i="39"/>
  <c r="I57" i="39"/>
  <c r="B58" i="39"/>
  <c r="C58" i="39"/>
  <c r="E58" i="39"/>
  <c r="F58" i="39"/>
  <c r="H58" i="39"/>
  <c r="I58" i="39"/>
  <c r="B59" i="39"/>
  <c r="C59" i="39"/>
  <c r="E59" i="39"/>
  <c r="F59" i="39"/>
  <c r="H59" i="39"/>
  <c r="I59" i="39"/>
  <c r="B60" i="39"/>
  <c r="C60" i="39"/>
  <c r="E60" i="39"/>
  <c r="F60" i="39"/>
  <c r="H60" i="39"/>
  <c r="I60" i="39"/>
  <c r="D64" i="39"/>
  <c r="G64" i="39"/>
  <c r="J64" i="39"/>
  <c r="K64" i="39"/>
  <c r="D65" i="39"/>
  <c r="G65" i="39"/>
  <c r="J65" i="39"/>
  <c r="K65" i="39"/>
  <c r="D66" i="39"/>
  <c r="G66" i="39"/>
  <c r="J66" i="39"/>
  <c r="K66" i="39"/>
  <c r="D67" i="39"/>
  <c r="G67" i="39"/>
  <c r="J67" i="39"/>
  <c r="K67" i="39"/>
  <c r="D68" i="39"/>
  <c r="G68" i="39"/>
  <c r="J68" i="39"/>
  <c r="K68" i="39"/>
  <c r="D69" i="39"/>
  <c r="G69" i="39"/>
  <c r="J69" i="39"/>
  <c r="K69" i="39"/>
  <c r="D70" i="39"/>
  <c r="G70" i="39"/>
  <c r="J70" i="39"/>
  <c r="K70" i="39"/>
  <c r="D71" i="39"/>
  <c r="G71" i="39"/>
  <c r="J71" i="39"/>
  <c r="K71" i="39"/>
  <c r="D72" i="39"/>
  <c r="G72" i="39"/>
  <c r="J72" i="39"/>
  <c r="K72" i="39"/>
  <c r="D73" i="39"/>
  <c r="G73" i="39"/>
  <c r="J73" i="39"/>
  <c r="K73" i="39"/>
  <c r="D74" i="39"/>
  <c r="G74" i="39"/>
  <c r="J74" i="39"/>
  <c r="K74" i="39"/>
  <c r="D75" i="39"/>
  <c r="G75" i="39"/>
  <c r="J75" i="39"/>
  <c r="K75" i="39"/>
  <c r="A1" i="38"/>
  <c r="D11" i="38"/>
  <c r="G11" i="38"/>
  <c r="M11" i="38" s="1"/>
  <c r="J11" i="38"/>
  <c r="D12" i="38"/>
  <c r="G12" i="38"/>
  <c r="M12" i="38" s="1"/>
  <c r="J12" i="38"/>
  <c r="D13" i="38"/>
  <c r="G13" i="38"/>
  <c r="M13" i="38" s="1"/>
  <c r="J13" i="38"/>
  <c r="D14" i="38"/>
  <c r="G14" i="38"/>
  <c r="M14" i="38" s="1"/>
  <c r="J14" i="38"/>
  <c r="D15" i="38"/>
  <c r="G15" i="38"/>
  <c r="M15" i="38" s="1"/>
  <c r="J15" i="38"/>
  <c r="D16" i="38"/>
  <c r="G16" i="38"/>
  <c r="M16" i="38" s="1"/>
  <c r="J16" i="38"/>
  <c r="D17" i="38"/>
  <c r="G17" i="38"/>
  <c r="M17" i="38" s="1"/>
  <c r="J17" i="38"/>
  <c r="D18" i="38"/>
  <c r="G18" i="38"/>
  <c r="M18" i="38" s="1"/>
  <c r="J18" i="38"/>
  <c r="D19" i="38"/>
  <c r="G19" i="38"/>
  <c r="M19" i="38" s="1"/>
  <c r="J19" i="38"/>
  <c r="D20" i="38"/>
  <c r="G20" i="38"/>
  <c r="M20" i="38" s="1"/>
  <c r="J20" i="38"/>
  <c r="P20" i="38"/>
  <c r="D21" i="38"/>
  <c r="G21" i="38"/>
  <c r="M21" i="38"/>
  <c r="J21" i="38"/>
  <c r="P21" i="38"/>
  <c r="D22" i="38"/>
  <c r="G22" i="38"/>
  <c r="M22" i="38" s="1"/>
  <c r="J22" i="38"/>
  <c r="P22" i="38"/>
  <c r="B24" i="38"/>
  <c r="C24" i="38"/>
  <c r="E24" i="38"/>
  <c r="H24" i="38"/>
  <c r="I24" i="38"/>
  <c r="J24" i="38" s="1"/>
  <c r="N24" i="38"/>
  <c r="O24" i="38"/>
  <c r="Q44" i="38"/>
  <c r="Q41" i="39" s="1"/>
  <c r="R44" i="38"/>
  <c r="D52" i="38"/>
  <c r="G52" i="38"/>
  <c r="J52" i="38"/>
  <c r="K52" i="38"/>
  <c r="D53" i="38"/>
  <c r="G53" i="38"/>
  <c r="J53" i="38"/>
  <c r="K53" i="38"/>
  <c r="D54" i="38"/>
  <c r="G54" i="38"/>
  <c r="J54" i="38"/>
  <c r="K54" i="38"/>
  <c r="D55" i="38"/>
  <c r="G55" i="38"/>
  <c r="J55" i="38"/>
  <c r="K55" i="38"/>
  <c r="D56" i="38"/>
  <c r="G56" i="38"/>
  <c r="J56" i="38"/>
  <c r="K56" i="38"/>
  <c r="D57" i="38"/>
  <c r="G57" i="38"/>
  <c r="J57" i="38"/>
  <c r="K57" i="38"/>
  <c r="B59" i="38"/>
  <c r="C59" i="38"/>
  <c r="E59" i="38"/>
  <c r="F59" i="38"/>
  <c r="Q42" i="38" s="1"/>
  <c r="H59" i="38"/>
  <c r="I59" i="38"/>
  <c r="R42" i="38" s="1"/>
  <c r="E15" i="36"/>
  <c r="C43" i="36"/>
  <c r="E43" i="36" s="1"/>
  <c r="G43" i="36" s="1"/>
  <c r="H12" i="35"/>
  <c r="I12" i="35"/>
  <c r="H13" i="35"/>
  <c r="I13" i="35"/>
  <c r="H14" i="35"/>
  <c r="I14" i="35"/>
  <c r="H15" i="35"/>
  <c r="I15" i="35"/>
  <c r="H16" i="35"/>
  <c r="I16" i="35"/>
  <c r="H17" i="35"/>
  <c r="I17" i="35"/>
  <c r="H18" i="35"/>
  <c r="I18" i="35"/>
  <c r="H19" i="35"/>
  <c r="I19" i="35"/>
  <c r="H20" i="35"/>
  <c r="I20" i="35"/>
  <c r="H21" i="35"/>
  <c r="I21" i="35"/>
  <c r="H22" i="35"/>
  <c r="I22" i="35"/>
  <c r="H23" i="35"/>
  <c r="I23" i="35"/>
  <c r="F13" i="34"/>
  <c r="F14" i="34"/>
  <c r="F15" i="34"/>
  <c r="F16" i="34"/>
  <c r="F17" i="34"/>
  <c r="F18" i="34"/>
  <c r="F19" i="34"/>
  <c r="F21" i="34"/>
  <c r="F22" i="34"/>
  <c r="D24" i="34"/>
  <c r="H12" i="33"/>
  <c r="H13" i="33"/>
  <c r="H14" i="33"/>
  <c r="H15" i="33"/>
  <c r="C17" i="33"/>
  <c r="D17" i="33"/>
  <c r="F31" i="33" s="1"/>
  <c r="E17" i="33"/>
  <c r="E22" i="33" s="1"/>
  <c r="E35" i="33" s="1"/>
  <c r="F17" i="33"/>
  <c r="F22" i="33" s="1"/>
  <c r="F35" i="33" s="1"/>
  <c r="H19" i="33"/>
  <c r="H20" i="33"/>
  <c r="M12" i="32"/>
  <c r="M16" i="32"/>
  <c r="F46" i="32" s="1"/>
  <c r="N16" i="32"/>
  <c r="M17" i="32"/>
  <c r="F47" i="32" s="1"/>
  <c r="N17" i="32"/>
  <c r="G47" i="32" s="1"/>
  <c r="M18" i="32"/>
  <c r="F48" i="32" s="1"/>
  <c r="N18" i="32"/>
  <c r="M20" i="32"/>
  <c r="F50" i="32" s="1"/>
  <c r="M21" i="32"/>
  <c r="F51" i="32" s="1"/>
  <c r="N21" i="32"/>
  <c r="M23" i="32"/>
  <c r="F53" i="32" s="1"/>
  <c r="N23" i="32"/>
  <c r="G53" i="32" s="1"/>
  <c r="N24" i="32"/>
  <c r="N25" i="32"/>
  <c r="G55" i="32" s="1"/>
  <c r="H55" i="32" s="1"/>
  <c r="M26" i="32"/>
  <c r="F56" i="32" s="1"/>
  <c r="N26" i="32"/>
  <c r="G56" i="32" s="1"/>
  <c r="F57" i="32"/>
  <c r="G57" i="32"/>
  <c r="M31" i="32"/>
  <c r="F61" i="32" s="1"/>
  <c r="N31" i="32"/>
  <c r="G61" i="32" s="1"/>
  <c r="M32" i="32"/>
  <c r="N32" i="32"/>
  <c r="E37" i="32"/>
  <c r="F37" i="32"/>
  <c r="G37" i="32"/>
  <c r="H37" i="32"/>
  <c r="I37" i="32"/>
  <c r="J37" i="32"/>
  <c r="K37" i="32"/>
  <c r="L37" i="32"/>
  <c r="A42" i="32"/>
  <c r="A46" i="32"/>
  <c r="C46" i="32"/>
  <c r="A47" i="32"/>
  <c r="C47" i="32"/>
  <c r="A48" i="32"/>
  <c r="C48" i="32"/>
  <c r="A50" i="32"/>
  <c r="C50" i="32"/>
  <c r="A51" i="32"/>
  <c r="C51" i="32"/>
  <c r="A53" i="32"/>
  <c r="C53" i="32"/>
  <c r="A54" i="32"/>
  <c r="C54" i="32"/>
  <c r="A55" i="32"/>
  <c r="C55" i="32"/>
  <c r="A56" i="32"/>
  <c r="C56" i="32"/>
  <c r="A57" i="32"/>
  <c r="C57" i="32"/>
  <c r="A61" i="32"/>
  <c r="A64" i="32"/>
  <c r="W21" i="31"/>
  <c r="L22" i="31"/>
  <c r="AC32" i="31"/>
  <c r="AC33" i="31"/>
  <c r="U42" i="31"/>
  <c r="S43" i="37" s="1"/>
  <c r="U43" i="37" s="1"/>
  <c r="AC51" i="31"/>
  <c r="AC52" i="31"/>
  <c r="C55" i="31"/>
  <c r="U56" i="31"/>
  <c r="S57" i="37" s="1"/>
  <c r="U57" i="37" s="1"/>
  <c r="X56" i="31"/>
  <c r="Z56" i="31" s="1"/>
  <c r="C59" i="31"/>
  <c r="O60" i="31"/>
  <c r="L61" i="31"/>
  <c r="AC69" i="31"/>
  <c r="AC70" i="31"/>
  <c r="AC71" i="31"/>
  <c r="C15" i="30"/>
  <c r="D15" i="30"/>
  <c r="E15" i="30"/>
  <c r="F15" i="30"/>
  <c r="G15" i="30"/>
  <c r="L15" i="30"/>
  <c r="M15" i="30"/>
  <c r="N15" i="30"/>
  <c r="O15" i="30"/>
  <c r="P15" i="30"/>
  <c r="C16" i="30"/>
  <c r="D16" i="30"/>
  <c r="E16" i="30"/>
  <c r="F16" i="30"/>
  <c r="G16" i="30"/>
  <c r="L16" i="30"/>
  <c r="M16" i="30"/>
  <c r="N16" i="30"/>
  <c r="O16" i="30"/>
  <c r="P16" i="30"/>
  <c r="C17" i="30"/>
  <c r="D17" i="30"/>
  <c r="E17" i="30"/>
  <c r="F17" i="30"/>
  <c r="G17" i="30"/>
  <c r="L17" i="30"/>
  <c r="M17" i="30"/>
  <c r="N17" i="30"/>
  <c r="O17" i="30"/>
  <c r="P17" i="30"/>
  <c r="C18" i="30"/>
  <c r="D18" i="30"/>
  <c r="E18" i="30"/>
  <c r="F18" i="30"/>
  <c r="G18" i="30"/>
  <c r="L18" i="30"/>
  <c r="M18" i="30"/>
  <c r="N18" i="30"/>
  <c r="O18" i="30"/>
  <c r="P18" i="30"/>
  <c r="C19" i="30"/>
  <c r="D19" i="30"/>
  <c r="E19" i="30"/>
  <c r="F19" i="30"/>
  <c r="G19" i="30"/>
  <c r="L19" i="30"/>
  <c r="M19" i="30"/>
  <c r="N19" i="30"/>
  <c r="O19" i="30"/>
  <c r="P19" i="30"/>
  <c r="C20" i="30"/>
  <c r="D20" i="30"/>
  <c r="E20" i="30"/>
  <c r="F20" i="30"/>
  <c r="G20" i="30"/>
  <c r="L20" i="30"/>
  <c r="M20" i="30"/>
  <c r="N20" i="30"/>
  <c r="O20" i="30"/>
  <c r="P20" i="30"/>
  <c r="C21" i="30"/>
  <c r="D21" i="30"/>
  <c r="E21" i="30"/>
  <c r="F21" i="30"/>
  <c r="G21" i="30"/>
  <c r="L21" i="30"/>
  <c r="M21" i="30"/>
  <c r="N21" i="30"/>
  <c r="O21" i="30"/>
  <c r="P21" i="30"/>
  <c r="C22" i="30"/>
  <c r="D22" i="30"/>
  <c r="E22" i="30"/>
  <c r="F22" i="30"/>
  <c r="G22" i="30"/>
  <c r="L22" i="30"/>
  <c r="M22" i="30"/>
  <c r="N22" i="30"/>
  <c r="O22" i="30"/>
  <c r="P22" i="30"/>
  <c r="C23" i="30"/>
  <c r="D23" i="30"/>
  <c r="E23" i="30"/>
  <c r="F23" i="30"/>
  <c r="G23" i="30"/>
  <c r="L23" i="30"/>
  <c r="M23" i="30"/>
  <c r="N23" i="30"/>
  <c r="O23" i="30"/>
  <c r="P23" i="30"/>
  <c r="C24" i="30"/>
  <c r="D24" i="30"/>
  <c r="E24" i="30"/>
  <c r="F24" i="30"/>
  <c r="G24" i="30"/>
  <c r="L24" i="30"/>
  <c r="M24" i="30"/>
  <c r="N24" i="30"/>
  <c r="O24" i="30"/>
  <c r="P24" i="30"/>
  <c r="C25" i="30"/>
  <c r="D25" i="30"/>
  <c r="E25" i="30"/>
  <c r="F25" i="30"/>
  <c r="G25" i="30"/>
  <c r="L25" i="30"/>
  <c r="M25" i="30"/>
  <c r="N25" i="30"/>
  <c r="O25" i="30"/>
  <c r="P25" i="30"/>
  <c r="C26" i="30"/>
  <c r="D26" i="30"/>
  <c r="E26" i="30"/>
  <c r="F26" i="30"/>
  <c r="G26" i="30"/>
  <c r="L26" i="30"/>
  <c r="M26" i="30"/>
  <c r="N26" i="30"/>
  <c r="O26" i="30"/>
  <c r="P26" i="30"/>
  <c r="C38" i="30"/>
  <c r="D38" i="30"/>
  <c r="E38" i="30"/>
  <c r="F38" i="30"/>
  <c r="G38" i="30"/>
  <c r="L38" i="30"/>
  <c r="M38" i="30"/>
  <c r="N38" i="30"/>
  <c r="O38" i="30"/>
  <c r="P38" i="30"/>
  <c r="C39" i="30"/>
  <c r="D39" i="30"/>
  <c r="E39" i="30"/>
  <c r="F39" i="30"/>
  <c r="G39" i="30"/>
  <c r="L39" i="30"/>
  <c r="M39" i="30"/>
  <c r="N39" i="30"/>
  <c r="O39" i="30"/>
  <c r="P39" i="30"/>
  <c r="C40" i="30"/>
  <c r="D40" i="30"/>
  <c r="E40" i="30"/>
  <c r="F40" i="30"/>
  <c r="G40" i="30"/>
  <c r="L40" i="30"/>
  <c r="M40" i="30"/>
  <c r="N40" i="30"/>
  <c r="O40" i="30"/>
  <c r="P40" i="30"/>
  <c r="C41" i="30"/>
  <c r="D41" i="30"/>
  <c r="E41" i="30"/>
  <c r="F41" i="30"/>
  <c r="G41" i="30"/>
  <c r="L41" i="30"/>
  <c r="M41" i="30"/>
  <c r="N41" i="30"/>
  <c r="O41" i="30"/>
  <c r="P41" i="30"/>
  <c r="C42" i="30"/>
  <c r="D42" i="30"/>
  <c r="E42" i="30"/>
  <c r="F42" i="30"/>
  <c r="G42" i="30"/>
  <c r="L42" i="30"/>
  <c r="M42" i="30"/>
  <c r="N42" i="30"/>
  <c r="O42" i="30"/>
  <c r="P42" i="30"/>
  <c r="C43" i="30"/>
  <c r="D43" i="30"/>
  <c r="E43" i="30"/>
  <c r="F43" i="30"/>
  <c r="G43" i="30"/>
  <c r="L43" i="30"/>
  <c r="M43" i="30"/>
  <c r="N43" i="30"/>
  <c r="O43" i="30"/>
  <c r="P43" i="30"/>
  <c r="C44" i="30"/>
  <c r="D44" i="30"/>
  <c r="E44" i="30"/>
  <c r="F44" i="30"/>
  <c r="G44" i="30"/>
  <c r="L44" i="30"/>
  <c r="M44" i="30"/>
  <c r="N44" i="30"/>
  <c r="O44" i="30"/>
  <c r="P44" i="30"/>
  <c r="C45" i="30"/>
  <c r="D45" i="30"/>
  <c r="E45" i="30"/>
  <c r="F45" i="30"/>
  <c r="G45" i="30"/>
  <c r="L45" i="30"/>
  <c r="M45" i="30"/>
  <c r="N45" i="30"/>
  <c r="O45" i="30"/>
  <c r="P45" i="30"/>
  <c r="C46" i="30"/>
  <c r="D46" i="30"/>
  <c r="E46" i="30"/>
  <c r="F46" i="30"/>
  <c r="F51" i="30" s="1"/>
  <c r="G46" i="30"/>
  <c r="L46" i="30"/>
  <c r="M46" i="30"/>
  <c r="N46" i="30"/>
  <c r="O46" i="30"/>
  <c r="P46" i="30"/>
  <c r="C47" i="30"/>
  <c r="D47" i="30"/>
  <c r="E47" i="30"/>
  <c r="F47" i="30"/>
  <c r="G47" i="30"/>
  <c r="L47" i="30"/>
  <c r="M47" i="30"/>
  <c r="N47" i="30"/>
  <c r="O47" i="30"/>
  <c r="P47" i="30"/>
  <c r="C48" i="30"/>
  <c r="D48" i="30"/>
  <c r="E48" i="30"/>
  <c r="F48" i="30"/>
  <c r="G48" i="30"/>
  <c r="L48" i="30"/>
  <c r="M48" i="30"/>
  <c r="N48" i="30"/>
  <c r="O48" i="30"/>
  <c r="P48" i="30"/>
  <c r="C49" i="30"/>
  <c r="D49" i="30"/>
  <c r="E49" i="30"/>
  <c r="F49" i="30"/>
  <c r="G49" i="30"/>
  <c r="L49" i="30"/>
  <c r="M49" i="30"/>
  <c r="N49" i="30"/>
  <c r="O49" i="30"/>
  <c r="P49" i="30"/>
  <c r="C10" i="28"/>
  <c r="D10" i="28"/>
  <c r="E10" i="28"/>
  <c r="E16" i="28" s="1"/>
  <c r="C12" i="28"/>
  <c r="D12" i="28"/>
  <c r="E12" i="28"/>
  <c r="C14" i="28"/>
  <c r="D14" i="28"/>
  <c r="E14" i="28"/>
  <c r="F14" i="28" s="1"/>
  <c r="C22" i="28"/>
  <c r="D22" i="28"/>
  <c r="E22" i="28"/>
  <c r="F22" i="28"/>
  <c r="F28" i="28" s="1"/>
  <c r="G22" i="28"/>
  <c r="H22" i="28"/>
  <c r="I22" i="28"/>
  <c r="C24" i="28"/>
  <c r="D24" i="28"/>
  <c r="E24" i="28"/>
  <c r="F24" i="28"/>
  <c r="G24" i="28"/>
  <c r="H24" i="28"/>
  <c r="I24" i="28"/>
  <c r="C26" i="28"/>
  <c r="D26" i="28"/>
  <c r="E26" i="28"/>
  <c r="F26" i="28"/>
  <c r="G26" i="28"/>
  <c r="G28" i="28" s="1"/>
  <c r="H26" i="28"/>
  <c r="I26" i="28"/>
  <c r="A10" i="27"/>
  <c r="D10" i="27"/>
  <c r="E10" i="27"/>
  <c r="F10" i="27"/>
  <c r="A11" i="27"/>
  <c r="D11" i="27"/>
  <c r="E11" i="27"/>
  <c r="F11" i="27"/>
  <c r="A12" i="27"/>
  <c r="D12" i="27"/>
  <c r="E12" i="27"/>
  <c r="F12" i="27"/>
  <c r="D13" i="27"/>
  <c r="E13" i="27"/>
  <c r="F13" i="27"/>
  <c r="D14" i="27"/>
  <c r="E14" i="27"/>
  <c r="F14" i="27"/>
  <c r="D15" i="27"/>
  <c r="E15" i="27"/>
  <c r="F15" i="27"/>
  <c r="D16" i="27"/>
  <c r="E16" i="27"/>
  <c r="F16" i="27"/>
  <c r="A31" i="27"/>
  <c r="D31" i="27"/>
  <c r="E31" i="27"/>
  <c r="F31" i="27"/>
  <c r="D32" i="27"/>
  <c r="E32" i="27"/>
  <c r="F32" i="27"/>
  <c r="A33" i="27"/>
  <c r="D33" i="27"/>
  <c r="E33" i="27"/>
  <c r="F33" i="27"/>
  <c r="D34" i="27"/>
  <c r="E34" i="27"/>
  <c r="F34" i="27"/>
  <c r="D35" i="27"/>
  <c r="E35" i="27"/>
  <c r="F35" i="27"/>
  <c r="D36" i="27"/>
  <c r="E36" i="27"/>
  <c r="F36" i="27"/>
  <c r="D37" i="27"/>
  <c r="E37" i="27"/>
  <c r="F37" i="27"/>
  <c r="A53" i="27"/>
  <c r="D53" i="27"/>
  <c r="E53" i="27"/>
  <c r="F53" i="27"/>
  <c r="D54" i="27"/>
  <c r="E54" i="27"/>
  <c r="F54" i="27"/>
  <c r="A55" i="27"/>
  <c r="D55" i="27"/>
  <c r="E55" i="27"/>
  <c r="F55" i="27"/>
  <c r="D56" i="27"/>
  <c r="E56" i="27"/>
  <c r="F56" i="27"/>
  <c r="A57" i="27"/>
  <c r="D57" i="27"/>
  <c r="E57" i="27"/>
  <c r="F57" i="27"/>
  <c r="D58" i="27"/>
  <c r="E58" i="27"/>
  <c r="F58" i="27"/>
  <c r="D59" i="27"/>
  <c r="E59" i="27"/>
  <c r="F59" i="27"/>
  <c r="D55" i="25"/>
  <c r="D56" i="25"/>
  <c r="D57" i="25"/>
  <c r="O12" i="24"/>
  <c r="P12" i="24" s="1"/>
  <c r="O13" i="24"/>
  <c r="P13" i="24" s="1"/>
  <c r="K16" i="24"/>
  <c r="O16" i="24" s="1"/>
  <c r="P16" i="24" s="1"/>
  <c r="O18" i="24"/>
  <c r="P18" i="24"/>
  <c r="O19" i="24"/>
  <c r="P19" i="24"/>
  <c r="K55" i="24"/>
  <c r="O57" i="24"/>
  <c r="P57" i="24" s="1"/>
  <c r="O58" i="24"/>
  <c r="P58" i="24" s="1"/>
  <c r="O88" i="24"/>
  <c r="P88" i="24" s="1"/>
  <c r="O96" i="24"/>
  <c r="P96" i="24" s="1"/>
  <c r="O20" i="21"/>
  <c r="O22" i="21"/>
  <c r="O23" i="21"/>
  <c r="O24" i="21"/>
  <c r="O63" i="21"/>
  <c r="O101" i="21"/>
  <c r="O103" i="21"/>
  <c r="L108" i="21"/>
  <c r="H27" i="20"/>
  <c r="AN33" i="20"/>
  <c r="AO33" i="20"/>
  <c r="AP33" i="20"/>
  <c r="AN34" i="20"/>
  <c r="AO34" i="20"/>
  <c r="AP34" i="20"/>
  <c r="AN35" i="20"/>
  <c r="AO35" i="20"/>
  <c r="AP35" i="20"/>
  <c r="AN36" i="20"/>
  <c r="AO36" i="20"/>
  <c r="AP36" i="20"/>
  <c r="H27" i="19"/>
  <c r="AN33" i="19"/>
  <c r="AO33" i="19"/>
  <c r="AP33" i="19"/>
  <c r="AN34" i="19"/>
  <c r="AO34" i="19"/>
  <c r="AP34" i="19"/>
  <c r="AN35" i="19"/>
  <c r="AO35" i="19"/>
  <c r="AP35" i="19"/>
  <c r="AN36" i="19"/>
  <c r="AO36" i="19"/>
  <c r="AP36" i="19"/>
  <c r="H27" i="18"/>
  <c r="AN33" i="18"/>
  <c r="AO33" i="18"/>
  <c r="AP33" i="18"/>
  <c r="AN34" i="18"/>
  <c r="AO34" i="18"/>
  <c r="AP34" i="18"/>
  <c r="AN35" i="18"/>
  <c r="AO35" i="18"/>
  <c r="AP35" i="18"/>
  <c r="AN36" i="18"/>
  <c r="AO36" i="18"/>
  <c r="AP36" i="18"/>
  <c r="D11" i="16"/>
  <c r="L11" i="16" s="1"/>
  <c r="D12" i="16"/>
  <c r="L12" i="16" s="1"/>
  <c r="D13" i="16"/>
  <c r="L13" i="16" s="1"/>
  <c r="D14" i="16"/>
  <c r="L14" i="16" s="1"/>
  <c r="D15" i="16"/>
  <c r="L15" i="16" s="1"/>
  <c r="D16" i="16"/>
  <c r="L16" i="16" s="1"/>
  <c r="D17" i="16"/>
  <c r="L17" i="16" s="1"/>
  <c r="D18" i="16"/>
  <c r="L18" i="16" s="1"/>
  <c r="D19" i="16"/>
  <c r="L19" i="16" s="1"/>
  <c r="D20" i="16"/>
  <c r="L20" i="16" s="1"/>
  <c r="D21" i="16"/>
  <c r="L21" i="16" s="1"/>
  <c r="I21" i="16" s="1"/>
  <c r="D22" i="16"/>
  <c r="L22" i="16"/>
  <c r="I22" i="16" s="1"/>
  <c r="D23" i="16"/>
  <c r="L23" i="16" s="1"/>
  <c r="I23" i="16" s="1"/>
  <c r="D24" i="16"/>
  <c r="L24" i="16" s="1"/>
  <c r="D25" i="16"/>
  <c r="L25" i="16" s="1"/>
  <c r="D26" i="16"/>
  <c r="L26" i="16" s="1"/>
  <c r="D27" i="16"/>
  <c r="L27" i="16" s="1"/>
  <c r="D28" i="16"/>
  <c r="L28" i="16" s="1"/>
  <c r="D29" i="16"/>
  <c r="L29" i="16" s="1"/>
  <c r="D32" i="16"/>
  <c r="L32" i="16" s="1"/>
  <c r="D34" i="16"/>
  <c r="L34" i="16" s="1"/>
  <c r="D35" i="16"/>
  <c r="L35" i="16" s="1"/>
  <c r="D37" i="16"/>
  <c r="L37" i="16" s="1"/>
  <c r="D38" i="16"/>
  <c r="L38" i="16" s="1"/>
  <c r="D39" i="16"/>
  <c r="L39" i="16" s="1"/>
  <c r="D40" i="16"/>
  <c r="L40" i="16" s="1"/>
  <c r="D41" i="16"/>
  <c r="L41" i="16" s="1"/>
  <c r="D42" i="16"/>
  <c r="L42" i="16" s="1"/>
  <c r="D43" i="16"/>
  <c r="L43" i="16" s="1"/>
  <c r="D44" i="16"/>
  <c r="L44" i="16" s="1"/>
  <c r="D45" i="16"/>
  <c r="L45" i="16" s="1"/>
  <c r="D46" i="16"/>
  <c r="L46" i="16" s="1"/>
  <c r="D47" i="16"/>
  <c r="L47" i="16" s="1"/>
  <c r="D48" i="16"/>
  <c r="L48" i="16" s="1"/>
  <c r="D51" i="16"/>
  <c r="L51" i="16" s="1"/>
  <c r="D52" i="16"/>
  <c r="L52" i="16" s="1"/>
  <c r="D53" i="16"/>
  <c r="L53" i="16" s="1"/>
  <c r="D54" i="16"/>
  <c r="L54" i="16" s="1"/>
  <c r="D55" i="16"/>
  <c r="L55" i="16" s="1"/>
  <c r="D56" i="16"/>
  <c r="L56" i="16" s="1"/>
  <c r="D57" i="16"/>
  <c r="L57" i="16" s="1"/>
  <c r="D58" i="16"/>
  <c r="L58" i="16" s="1"/>
  <c r="D59" i="16"/>
  <c r="L59" i="16" s="1"/>
  <c r="D60" i="16"/>
  <c r="L60" i="16" s="1"/>
  <c r="D61" i="16"/>
  <c r="L61" i="16" s="1"/>
  <c r="D62" i="16"/>
  <c r="L62" i="16" s="1"/>
  <c r="D63" i="16"/>
  <c r="L63" i="16" s="1"/>
  <c r="D64" i="16"/>
  <c r="L64" i="16"/>
  <c r="I64" i="16" s="1"/>
  <c r="D65" i="16"/>
  <c r="L65" i="16" s="1"/>
  <c r="I65" i="16" s="1"/>
  <c r="D69" i="16"/>
  <c r="L69" i="16" s="1"/>
  <c r="D70" i="16"/>
  <c r="L70" i="16" s="1"/>
  <c r="A3" i="16"/>
  <c r="D11" i="15"/>
  <c r="L11" i="15" s="1"/>
  <c r="D12" i="15"/>
  <c r="L12" i="15" s="1"/>
  <c r="D13" i="15"/>
  <c r="L13" i="15" s="1"/>
  <c r="D14" i="15"/>
  <c r="L14" i="15" s="1"/>
  <c r="D15" i="15"/>
  <c r="L15" i="15"/>
  <c r="D16" i="15"/>
  <c r="L16" i="15" s="1"/>
  <c r="D17" i="15"/>
  <c r="L17" i="15" s="1"/>
  <c r="D18" i="15"/>
  <c r="L18" i="15" s="1"/>
  <c r="D19" i="15"/>
  <c r="L19" i="15" s="1"/>
  <c r="D20" i="15"/>
  <c r="L20" i="15" s="1"/>
  <c r="D21" i="15"/>
  <c r="L21" i="15" s="1"/>
  <c r="I21" i="15" s="1"/>
  <c r="D22" i="15"/>
  <c r="D23" i="15"/>
  <c r="L23" i="15" s="1"/>
  <c r="I23" i="15" s="1"/>
  <c r="D24" i="15"/>
  <c r="L24" i="15" s="1"/>
  <c r="D25" i="15"/>
  <c r="L25" i="15" s="1"/>
  <c r="D26" i="15"/>
  <c r="L26" i="15" s="1"/>
  <c r="D27" i="15"/>
  <c r="L27" i="15" s="1"/>
  <c r="D28" i="15"/>
  <c r="L28" i="15" s="1"/>
  <c r="D29" i="15"/>
  <c r="D32" i="15"/>
  <c r="L32" i="15" s="1"/>
  <c r="D34" i="15"/>
  <c r="L34" i="15" s="1"/>
  <c r="D35" i="15"/>
  <c r="L35" i="15" s="1"/>
  <c r="D37" i="15"/>
  <c r="L37" i="15" s="1"/>
  <c r="D38" i="15"/>
  <c r="L38" i="15" s="1"/>
  <c r="D39" i="15"/>
  <c r="L39" i="15" s="1"/>
  <c r="D40" i="15"/>
  <c r="L40" i="15" s="1"/>
  <c r="D41" i="15"/>
  <c r="L41" i="15" s="1"/>
  <c r="D42" i="15"/>
  <c r="L42" i="15" s="1"/>
  <c r="D43" i="15"/>
  <c r="L43" i="15" s="1"/>
  <c r="D44" i="15"/>
  <c r="L44" i="15" s="1"/>
  <c r="D45" i="15"/>
  <c r="L45" i="15" s="1"/>
  <c r="D46" i="15"/>
  <c r="L46" i="15" s="1"/>
  <c r="D47" i="15"/>
  <c r="L47" i="15" s="1"/>
  <c r="D48" i="15"/>
  <c r="L48" i="15" s="1"/>
  <c r="D51" i="15"/>
  <c r="L51" i="15" s="1"/>
  <c r="D52" i="15"/>
  <c r="L52" i="15" s="1"/>
  <c r="D53" i="15"/>
  <c r="L53" i="15" s="1"/>
  <c r="D54" i="15"/>
  <c r="L54" i="15" s="1"/>
  <c r="D55" i="15"/>
  <c r="L55" i="15" s="1"/>
  <c r="D56" i="15"/>
  <c r="L56" i="15" s="1"/>
  <c r="D57" i="15"/>
  <c r="L57" i="15" s="1"/>
  <c r="D58" i="15"/>
  <c r="L58" i="15" s="1"/>
  <c r="D59" i="15"/>
  <c r="L59" i="15" s="1"/>
  <c r="D60" i="15"/>
  <c r="L60" i="15" s="1"/>
  <c r="D61" i="15"/>
  <c r="L61" i="15" s="1"/>
  <c r="D62" i="15"/>
  <c r="L62" i="15" s="1"/>
  <c r="D63" i="15"/>
  <c r="L63" i="15" s="1"/>
  <c r="D64" i="15"/>
  <c r="L64" i="15" s="1"/>
  <c r="I64" i="15" s="1"/>
  <c r="D65" i="15"/>
  <c r="L65" i="15" s="1"/>
  <c r="I65" i="15" s="1"/>
  <c r="D69" i="15"/>
  <c r="L69" i="15" s="1"/>
  <c r="D70" i="15"/>
  <c r="L70" i="15" s="1"/>
  <c r="D11" i="14"/>
  <c r="O11" i="14" s="1"/>
  <c r="D12" i="14"/>
  <c r="O12" i="14" s="1"/>
  <c r="D13" i="14"/>
  <c r="D14" i="14"/>
  <c r="D15" i="14"/>
  <c r="O15" i="14" s="1"/>
  <c r="D16" i="14"/>
  <c r="O16" i="14" s="1"/>
  <c r="D17" i="14"/>
  <c r="D18" i="14"/>
  <c r="O18" i="14" s="1"/>
  <c r="D19" i="14"/>
  <c r="D20" i="14"/>
  <c r="D21" i="14"/>
  <c r="O21" i="14" s="1"/>
  <c r="D22" i="14"/>
  <c r="O22" i="14" s="1"/>
  <c r="D23" i="14"/>
  <c r="O23" i="14" s="1"/>
  <c r="D24" i="14"/>
  <c r="D25" i="14"/>
  <c r="O25" i="14" s="1"/>
  <c r="D26" i="14"/>
  <c r="O26" i="14" s="1"/>
  <c r="D27" i="14"/>
  <c r="O27" i="14" s="1"/>
  <c r="D28" i="14"/>
  <c r="O28" i="14" s="1"/>
  <c r="D29" i="14"/>
  <c r="O29" i="14" s="1"/>
  <c r="L30" i="14"/>
  <c r="M30" i="14" s="1"/>
  <c r="D31" i="14"/>
  <c r="O31" i="14" s="1"/>
  <c r="D34" i="14"/>
  <c r="O34" i="14" s="1"/>
  <c r="D36" i="14"/>
  <c r="D37" i="14"/>
  <c r="O37" i="14" s="1"/>
  <c r="D39" i="14"/>
  <c r="O39" i="14" s="1"/>
  <c r="D40" i="14"/>
  <c r="O40" i="14" s="1"/>
  <c r="D41" i="14"/>
  <c r="O41" i="14" s="1"/>
  <c r="D42" i="14"/>
  <c r="O42" i="14" s="1"/>
  <c r="D43" i="14"/>
  <c r="O43" i="14" s="1"/>
  <c r="D44" i="14"/>
  <c r="O44" i="14" s="1"/>
  <c r="D45" i="14"/>
  <c r="D46" i="14"/>
  <c r="O46" i="14" s="1"/>
  <c r="D47" i="14"/>
  <c r="O47" i="14" s="1"/>
  <c r="D48" i="14"/>
  <c r="O48" i="14" s="1"/>
  <c r="D49" i="14"/>
  <c r="O49" i="14" s="1"/>
  <c r="D50" i="14"/>
  <c r="O50" i="14" s="1"/>
  <c r="D53" i="14"/>
  <c r="O53" i="14" s="1"/>
  <c r="D54" i="14"/>
  <c r="O54" i="14" s="1"/>
  <c r="D55" i="14"/>
  <c r="O55" i="14" s="1"/>
  <c r="D56" i="14"/>
  <c r="O56" i="14" s="1"/>
  <c r="D57" i="14"/>
  <c r="O57" i="14" s="1"/>
  <c r="D58" i="14"/>
  <c r="O58" i="14" s="1"/>
  <c r="D59" i="14"/>
  <c r="O59" i="14" s="1"/>
  <c r="D60" i="14"/>
  <c r="O60" i="14" s="1"/>
  <c r="D61" i="14"/>
  <c r="O61" i="14" s="1"/>
  <c r="D62" i="14"/>
  <c r="O62" i="14" s="1"/>
  <c r="D63" i="14"/>
  <c r="L63" i="14" s="1"/>
  <c r="D64" i="14"/>
  <c r="O64" i="14" s="1"/>
  <c r="D65" i="14"/>
  <c r="O65" i="14" s="1"/>
  <c r="D66" i="14"/>
  <c r="O66" i="14" s="1"/>
  <c r="D67" i="14"/>
  <c r="O67" i="14" s="1"/>
  <c r="D68" i="14"/>
  <c r="O68" i="14" s="1"/>
  <c r="D72" i="14"/>
  <c r="O72" i="14" s="1"/>
  <c r="D73" i="14"/>
  <c r="O73" i="14" s="1"/>
  <c r="X29" i="49"/>
  <c r="E24" i="35"/>
  <c r="I25" i="35" s="1"/>
  <c r="X263" i="47"/>
  <c r="L37" i="31" s="1"/>
  <c r="I18" i="45"/>
  <c r="I14" i="45"/>
  <c r="M99" i="46"/>
  <c r="AB115" i="47"/>
  <c r="AC115" i="47"/>
  <c r="V109" i="47"/>
  <c r="W109" i="47"/>
  <c r="AB105" i="47"/>
  <c r="AC105" i="47"/>
  <c r="I17" i="45"/>
  <c r="AB110" i="47"/>
  <c r="AC110" i="47"/>
  <c r="AD42" i="47"/>
  <c r="AD32" i="47"/>
  <c r="O21" i="31" s="1"/>
  <c r="Q21" i="31" s="1"/>
  <c r="V99" i="47"/>
  <c r="W99" i="47"/>
  <c r="AB96" i="47"/>
  <c r="AC96" i="47"/>
  <c r="AB89" i="47"/>
  <c r="AC89" i="47"/>
  <c r="AD44" i="47"/>
  <c r="V88" i="47"/>
  <c r="W88" i="47"/>
  <c r="AB85" i="47"/>
  <c r="AC85" i="47"/>
  <c r="AD40" i="47" s="1"/>
  <c r="AC111" i="47"/>
  <c r="W105" i="47"/>
  <c r="AC97" i="47"/>
  <c r="W96" i="47"/>
  <c r="AC90" i="47"/>
  <c r="AC86" i="47"/>
  <c r="AD41" i="47" s="1"/>
  <c r="W85" i="47"/>
  <c r="B24" i="35"/>
  <c r="H25" i="35" s="1"/>
  <c r="D17" i="39"/>
  <c r="C16" i="28"/>
  <c r="F12" i="28"/>
  <c r="H47" i="30"/>
  <c r="D28" i="28"/>
  <c r="D16" i="28"/>
  <c r="H29" i="6"/>
  <c r="I25" i="6"/>
  <c r="H25" i="6"/>
  <c r="G25" i="6"/>
  <c r="F25" i="6"/>
  <c r="E25" i="6"/>
  <c r="D25" i="6"/>
  <c r="C25" i="6"/>
  <c r="I23" i="6"/>
  <c r="H23" i="6"/>
  <c r="G23" i="6"/>
  <c r="F23" i="6"/>
  <c r="E23" i="6"/>
  <c r="D23" i="6"/>
  <c r="C23" i="6"/>
  <c r="I16" i="6"/>
  <c r="J12" i="6" s="1"/>
  <c r="C16" i="6"/>
  <c r="I12" i="6"/>
  <c r="I10" i="6"/>
  <c r="E12" i="6"/>
  <c r="D12" i="6"/>
  <c r="C12" i="6"/>
  <c r="C14" i="6"/>
  <c r="E10" i="6"/>
  <c r="D10" i="6"/>
  <c r="C10" i="6"/>
  <c r="I83" i="5"/>
  <c r="I78" i="5"/>
  <c r="F67" i="5"/>
  <c r="F62" i="5"/>
  <c r="E62" i="5"/>
  <c r="C62" i="5"/>
  <c r="A62" i="5"/>
  <c r="F61" i="5"/>
  <c r="E61" i="5"/>
  <c r="A61" i="5"/>
  <c r="F60" i="5"/>
  <c r="E60" i="5"/>
  <c r="C60" i="5"/>
  <c r="F59" i="5"/>
  <c r="E59" i="5"/>
  <c r="F58" i="5"/>
  <c r="E58" i="5"/>
  <c r="C58" i="5"/>
  <c r="A58" i="5"/>
  <c r="F57" i="5"/>
  <c r="E57" i="5"/>
  <c r="C57" i="5"/>
  <c r="A57" i="5"/>
  <c r="F56" i="5"/>
  <c r="E56" i="5"/>
  <c r="C56" i="5"/>
  <c r="A56" i="5"/>
  <c r="A43" i="5"/>
  <c r="F38" i="5"/>
  <c r="E38" i="5"/>
  <c r="A38" i="5"/>
  <c r="F37" i="5"/>
  <c r="E37" i="5"/>
  <c r="C37" i="5"/>
  <c r="A37" i="5"/>
  <c r="F36" i="5"/>
  <c r="E36" i="5"/>
  <c r="F35" i="5"/>
  <c r="E35" i="5"/>
  <c r="C35" i="5"/>
  <c r="F34" i="5"/>
  <c r="E34" i="5"/>
  <c r="C34" i="5"/>
  <c r="A34" i="5"/>
  <c r="F33" i="5"/>
  <c r="E33" i="5"/>
  <c r="C33" i="5"/>
  <c r="A33" i="5"/>
  <c r="F32" i="5"/>
  <c r="E32" i="5"/>
  <c r="C32" i="5"/>
  <c r="A32" i="5"/>
  <c r="K16" i="5"/>
  <c r="J16" i="5"/>
  <c r="K15" i="5"/>
  <c r="J15" i="5"/>
  <c r="K14" i="5"/>
  <c r="J14" i="5"/>
  <c r="K13" i="5"/>
  <c r="J13" i="5"/>
  <c r="K12" i="5"/>
  <c r="J12" i="5"/>
  <c r="K11" i="5"/>
  <c r="J11" i="5"/>
  <c r="K10" i="5"/>
  <c r="J10" i="5"/>
  <c r="F16" i="5"/>
  <c r="E16" i="5"/>
  <c r="F15" i="5"/>
  <c r="E15" i="5"/>
  <c r="A15" i="5"/>
  <c r="F14" i="5"/>
  <c r="E14" i="5"/>
  <c r="F13" i="5"/>
  <c r="E13" i="5"/>
  <c r="F12" i="5"/>
  <c r="E12" i="5"/>
  <c r="C12" i="5"/>
  <c r="A12" i="5"/>
  <c r="F11" i="5"/>
  <c r="E11" i="5"/>
  <c r="C11" i="5"/>
  <c r="A11" i="5"/>
  <c r="F10" i="5"/>
  <c r="E10" i="5"/>
  <c r="C10" i="5"/>
  <c r="A10" i="5"/>
  <c r="O10" i="4"/>
  <c r="C11" i="2" s="1"/>
  <c r="F11" i="2" s="1"/>
  <c r="O11" i="4"/>
  <c r="U34" i="49" s="1"/>
  <c r="O12" i="4"/>
  <c r="C13" i="69" s="1"/>
  <c r="E13" i="69" s="1"/>
  <c r="O13" i="4"/>
  <c r="C14" i="69" s="1"/>
  <c r="E14" i="69" s="1"/>
  <c r="O14" i="4"/>
  <c r="D121" i="7" s="1"/>
  <c r="O15" i="4"/>
  <c r="O16" i="4"/>
  <c r="O17" i="4"/>
  <c r="C18" i="69" s="1"/>
  <c r="E18" i="69" s="1"/>
  <c r="I18" i="69" s="1"/>
  <c r="O18" i="4"/>
  <c r="C19" i="69" s="1"/>
  <c r="E19" i="69" s="1"/>
  <c r="I19" i="69" s="1"/>
  <c r="O24" i="4"/>
  <c r="O25" i="4"/>
  <c r="C26" i="69" s="1"/>
  <c r="E26" i="69" s="1"/>
  <c r="I26" i="69" s="1"/>
  <c r="C27" i="3" s="1"/>
  <c r="O26" i="4"/>
  <c r="C27" i="69" s="1"/>
  <c r="E27" i="69" s="1"/>
  <c r="I27" i="69" s="1"/>
  <c r="C28" i="3" s="1"/>
  <c r="O27" i="4"/>
  <c r="C28" i="69" s="1"/>
  <c r="E28" i="69" s="1"/>
  <c r="I28" i="69" s="1"/>
  <c r="C29" i="3" s="1"/>
  <c r="O28" i="4"/>
  <c r="O29" i="4"/>
  <c r="O30" i="4"/>
  <c r="O31" i="4"/>
  <c r="C32" i="69" s="1"/>
  <c r="E32" i="69" s="1"/>
  <c r="I32" i="69" s="1"/>
  <c r="C33" i="3" s="1"/>
  <c r="O32" i="4"/>
  <c r="C33" i="2" s="1"/>
  <c r="F33" i="2" s="1"/>
  <c r="J33" i="2" s="1"/>
  <c r="O33" i="4"/>
  <c r="C34" i="69" s="1"/>
  <c r="E34" i="69" s="1"/>
  <c r="I34" i="69" s="1"/>
  <c r="C35" i="3" s="1"/>
  <c r="L35" i="3" s="1"/>
  <c r="O34" i="4"/>
  <c r="C35" i="69" s="1"/>
  <c r="E35" i="69" s="1"/>
  <c r="I35" i="69" s="1"/>
  <c r="C36" i="3" s="1"/>
  <c r="O35" i="4"/>
  <c r="C36" i="69" s="1"/>
  <c r="E36" i="69" s="1"/>
  <c r="I36" i="69" s="1"/>
  <c r="C37" i="3" s="1"/>
  <c r="F37" i="3" s="1"/>
  <c r="O37" i="4"/>
  <c r="O39" i="4"/>
  <c r="C40" i="69" s="1"/>
  <c r="E40" i="69" s="1"/>
  <c r="I40" i="69" s="1"/>
  <c r="C41" i="3" s="1"/>
  <c r="O40" i="4"/>
  <c r="C41" i="69" s="1"/>
  <c r="E41" i="69" s="1"/>
  <c r="O41" i="4"/>
  <c r="O42" i="4"/>
  <c r="C43" i="69" s="1"/>
  <c r="E43" i="69" s="1"/>
  <c r="I43" i="69" s="1"/>
  <c r="C44" i="3" s="1"/>
  <c r="O43" i="4"/>
  <c r="C44" i="69" s="1"/>
  <c r="E44" i="69" s="1"/>
  <c r="I44" i="69" s="1"/>
  <c r="C45" i="3" s="1"/>
  <c r="I45" i="3" s="1"/>
  <c r="O44" i="4"/>
  <c r="D151" i="7" s="1"/>
  <c r="O45" i="4"/>
  <c r="O46" i="4"/>
  <c r="D153" i="7" s="1"/>
  <c r="O47" i="4"/>
  <c r="C48" i="69" s="1"/>
  <c r="E48" i="69" s="1"/>
  <c r="I48" i="69" s="1"/>
  <c r="C49" i="3" s="1"/>
  <c r="O48" i="4"/>
  <c r="C49" i="2" s="1"/>
  <c r="F49" i="2" s="1"/>
  <c r="J49" i="2" s="1"/>
  <c r="O50" i="4"/>
  <c r="O51" i="4"/>
  <c r="C52" i="69" s="1"/>
  <c r="E52" i="69" s="1"/>
  <c r="I52" i="69" s="1"/>
  <c r="C53" i="3" s="1"/>
  <c r="L53" i="3" s="1"/>
  <c r="O52" i="4"/>
  <c r="O53" i="4"/>
  <c r="C54" i="2" s="1"/>
  <c r="F54" i="2" s="1"/>
  <c r="J54" i="2" s="1"/>
  <c r="O54" i="4"/>
  <c r="C55" i="69" s="1"/>
  <c r="E55" i="69" s="1"/>
  <c r="I55" i="69" s="1"/>
  <c r="C56" i="3" s="1"/>
  <c r="F56" i="3" s="1"/>
  <c r="D56" i="12" s="1"/>
  <c r="O57" i="4"/>
  <c r="C58" i="69" s="1"/>
  <c r="O59" i="4"/>
  <c r="C60" i="69" s="1"/>
  <c r="E60" i="69" s="1"/>
  <c r="I60" i="69" s="1"/>
  <c r="C61" i="3" s="1"/>
  <c r="O60" i="4"/>
  <c r="C61" i="69" s="1"/>
  <c r="E61" i="69" s="1"/>
  <c r="O63" i="4"/>
  <c r="C64" i="2" s="1"/>
  <c r="F64" i="2" s="1"/>
  <c r="O64" i="4"/>
  <c r="C65" i="69" s="1"/>
  <c r="E65" i="69" s="1"/>
  <c r="O65" i="4"/>
  <c r="C66" i="69" s="1"/>
  <c r="E66" i="69" s="1"/>
  <c r="O66" i="4"/>
  <c r="O67" i="4"/>
  <c r="C68" i="2" s="1"/>
  <c r="F68" i="2" s="1"/>
  <c r="J68" i="2" s="1"/>
  <c r="O68" i="4"/>
  <c r="C69" i="69" s="1"/>
  <c r="E69" i="69" s="1"/>
  <c r="I69" i="69" s="1"/>
  <c r="C70" i="3" s="1"/>
  <c r="O69" i="4"/>
  <c r="C70" i="2" s="1"/>
  <c r="F70" i="2" s="1"/>
  <c r="J70" i="2" s="1"/>
  <c r="O70" i="4"/>
  <c r="O72" i="4"/>
  <c r="C73" i="69" s="1"/>
  <c r="E73" i="69" s="1"/>
  <c r="I73" i="69" s="1"/>
  <c r="O73" i="4"/>
  <c r="O75" i="4"/>
  <c r="C76" i="69" s="1"/>
  <c r="E76" i="69" s="1"/>
  <c r="O76" i="4"/>
  <c r="C77" i="69" s="1"/>
  <c r="E77" i="69" s="1"/>
  <c r="I77" i="69" s="1"/>
  <c r="C78" i="3" s="1"/>
  <c r="O77" i="4"/>
  <c r="D184" i="7" s="1"/>
  <c r="O78" i="4"/>
  <c r="C79" i="69" s="1"/>
  <c r="E79" i="69" s="1"/>
  <c r="I79" i="69" s="1"/>
  <c r="C80" i="3" s="1"/>
  <c r="I80" i="3" s="1"/>
  <c r="O79" i="4"/>
  <c r="C80" i="69" s="1"/>
  <c r="E80" i="69" s="1"/>
  <c r="I80" i="69" s="1"/>
  <c r="C81" i="3" s="1"/>
  <c r="F81" i="3" s="1"/>
  <c r="O80" i="4"/>
  <c r="C81" i="69" s="1"/>
  <c r="E81" i="69" s="1"/>
  <c r="O81" i="4"/>
  <c r="C82" i="69" s="1"/>
  <c r="E82" i="69" s="1"/>
  <c r="I82" i="69" s="1"/>
  <c r="C83" i="3" s="1"/>
  <c r="O82" i="4"/>
  <c r="C83" i="69" s="1"/>
  <c r="E83" i="69" s="1"/>
  <c r="I83" i="69" s="1"/>
  <c r="C84" i="3" s="1"/>
  <c r="O84" i="4"/>
  <c r="O85" i="4"/>
  <c r="C86" i="69" s="1"/>
  <c r="O87" i="4"/>
  <c r="C88" i="2" s="1"/>
  <c r="F88" i="2" s="1"/>
  <c r="J88" i="2" s="1"/>
  <c r="O89" i="4"/>
  <c r="O90" i="4"/>
  <c r="C91" i="69" s="1"/>
  <c r="E91" i="69" s="1"/>
  <c r="I91" i="69" s="1"/>
  <c r="C92" i="3" s="1"/>
  <c r="O91" i="4"/>
  <c r="C92" i="69" s="1"/>
  <c r="E92" i="69" s="1"/>
  <c r="I92" i="69" s="1"/>
  <c r="C93" i="3" s="1"/>
  <c r="O92" i="4"/>
  <c r="D199" i="7" s="1"/>
  <c r="O93" i="4"/>
  <c r="O94" i="4"/>
  <c r="D201" i="7" s="1"/>
  <c r="O95" i="4"/>
  <c r="C96" i="69" s="1"/>
  <c r="E96" i="69" s="1"/>
  <c r="I96" i="69" s="1"/>
  <c r="C97" i="3" s="1"/>
  <c r="I97" i="3" s="1"/>
  <c r="O96" i="4"/>
  <c r="O98" i="4"/>
  <c r="O99" i="4"/>
  <c r="O106" i="4"/>
  <c r="O107" i="4"/>
  <c r="D214" i="7" s="1"/>
  <c r="O108" i="4"/>
  <c r="O109" i="4"/>
  <c r="D216" i="7" s="1"/>
  <c r="O110" i="4"/>
  <c r="D217" i="7" s="1"/>
  <c r="O111" i="4"/>
  <c r="D218" i="7" s="1"/>
  <c r="O112" i="4"/>
  <c r="D219" i="7" s="1"/>
  <c r="N14" i="7"/>
  <c r="N15" i="7"/>
  <c r="N16" i="7"/>
  <c r="N17" i="7"/>
  <c r="N18" i="7"/>
  <c r="N19" i="7"/>
  <c r="N20" i="7"/>
  <c r="N21" i="7"/>
  <c r="N23" i="7"/>
  <c r="N24" i="7"/>
  <c r="D26" i="7"/>
  <c r="L26" i="7"/>
  <c r="H29" i="7"/>
  <c r="N29" i="7"/>
  <c r="H30" i="7"/>
  <c r="N30" i="7"/>
  <c r="H31" i="7"/>
  <c r="N31" i="7"/>
  <c r="H32" i="7"/>
  <c r="N32" i="7"/>
  <c r="H33" i="7"/>
  <c r="N33" i="7"/>
  <c r="H34" i="7"/>
  <c r="N34" i="7"/>
  <c r="H36" i="7"/>
  <c r="N36" i="7"/>
  <c r="H37" i="7"/>
  <c r="N37" i="7"/>
  <c r="N38" i="7"/>
  <c r="L39" i="7"/>
  <c r="N42" i="7"/>
  <c r="N44" i="7"/>
  <c r="D45" i="7"/>
  <c r="L45" i="7"/>
  <c r="N46" i="7"/>
  <c r="C59" i="7"/>
  <c r="D114" i="7" s="1"/>
  <c r="N66" i="7"/>
  <c r="N67" i="7"/>
  <c r="N68" i="7"/>
  <c r="N69" i="7"/>
  <c r="N71" i="7"/>
  <c r="N72" i="7"/>
  <c r="N73" i="7"/>
  <c r="N74" i="7"/>
  <c r="N76" i="7"/>
  <c r="N77" i="7"/>
  <c r="D78" i="7"/>
  <c r="L78" i="7"/>
  <c r="N79" i="7"/>
  <c r="N80" i="7"/>
  <c r="N81" i="7"/>
  <c r="N82" i="7"/>
  <c r="N85" i="7"/>
  <c r="N86" i="7"/>
  <c r="D87" i="7"/>
  <c r="L87" i="7"/>
  <c r="N94" i="7"/>
  <c r="N95" i="7"/>
  <c r="N96" i="7"/>
  <c r="F97" i="7"/>
  <c r="N98" i="7"/>
  <c r="N100" i="7"/>
  <c r="F127" i="7"/>
  <c r="D163" i="7"/>
  <c r="D168" i="7"/>
  <c r="J45" i="5"/>
  <c r="K45" i="5"/>
  <c r="J69" i="5"/>
  <c r="K69" i="5"/>
  <c r="L26" i="8"/>
  <c r="AC26" i="8" s="1"/>
  <c r="AC29" i="8" s="1"/>
  <c r="L27" i="8"/>
  <c r="AC27" i="8" s="1"/>
  <c r="E29" i="8"/>
  <c r="H29" i="8"/>
  <c r="K29" i="8"/>
  <c r="D49" i="8"/>
  <c r="U49" i="8" s="1"/>
  <c r="D50" i="8"/>
  <c r="U50" i="8" s="1"/>
  <c r="D51" i="8"/>
  <c r="U51" i="8" s="1"/>
  <c r="F51" i="8"/>
  <c r="W51" i="8" s="1"/>
  <c r="W53" i="8" s="1"/>
  <c r="F53" i="8"/>
  <c r="G51" i="8"/>
  <c r="L51" i="8"/>
  <c r="AC53" i="8" s="1"/>
  <c r="E53" i="8"/>
  <c r="H53" i="8"/>
  <c r="K53" i="8"/>
  <c r="C60" i="8"/>
  <c r="M12" i="13"/>
  <c r="N12" i="13"/>
  <c r="M13" i="13"/>
  <c r="N13" i="13" s="1"/>
  <c r="M14" i="13"/>
  <c r="N14" i="13" s="1"/>
  <c r="M15" i="13"/>
  <c r="N15" i="13" s="1"/>
  <c r="M16" i="13"/>
  <c r="N16" i="13" s="1"/>
  <c r="M17" i="13"/>
  <c r="M18" i="13"/>
  <c r="M19" i="13"/>
  <c r="N19" i="13"/>
  <c r="M20" i="13"/>
  <c r="N20" i="13" s="1"/>
  <c r="M26" i="13"/>
  <c r="N26" i="13"/>
  <c r="M27" i="13"/>
  <c r="N27" i="13" s="1"/>
  <c r="I28" i="13"/>
  <c r="F29" i="13"/>
  <c r="M29" i="13"/>
  <c r="N29" i="13" s="1"/>
  <c r="M30" i="13"/>
  <c r="F31" i="13"/>
  <c r="I31" i="13"/>
  <c r="M31" i="13" s="1"/>
  <c r="N31" i="13" s="1"/>
  <c r="F32" i="13"/>
  <c r="I32" i="13"/>
  <c r="M32" i="13"/>
  <c r="N32" i="13" s="1"/>
  <c r="F33" i="13"/>
  <c r="F34" i="13"/>
  <c r="I34" i="13"/>
  <c r="I35" i="13"/>
  <c r="M35" i="13" s="1"/>
  <c r="N35" i="13" s="1"/>
  <c r="M36" i="13"/>
  <c r="N36" i="13"/>
  <c r="F37" i="13"/>
  <c r="M37" i="13" s="1"/>
  <c r="N37" i="13" s="1"/>
  <c r="F39" i="13"/>
  <c r="I39" i="13"/>
  <c r="M42" i="13"/>
  <c r="N42" i="13"/>
  <c r="F43" i="13"/>
  <c r="I43" i="13"/>
  <c r="M43" i="13"/>
  <c r="N43" i="13"/>
  <c r="I44" i="13"/>
  <c r="M44" i="13" s="1"/>
  <c r="N44" i="13"/>
  <c r="M45" i="13"/>
  <c r="N45" i="13" s="1"/>
  <c r="F47" i="13"/>
  <c r="I47" i="13"/>
  <c r="M47" i="13" s="1"/>
  <c r="N47" i="13" s="1"/>
  <c r="F48" i="13"/>
  <c r="F50" i="13"/>
  <c r="M50" i="13" s="1"/>
  <c r="N50" i="13" s="1"/>
  <c r="M48" i="13"/>
  <c r="N48" i="13"/>
  <c r="F49" i="13"/>
  <c r="M49" i="13" s="1"/>
  <c r="N49" i="13" s="1"/>
  <c r="I49" i="13"/>
  <c r="M52" i="13"/>
  <c r="N52" i="13" s="1"/>
  <c r="M53" i="13"/>
  <c r="N53" i="13"/>
  <c r="M54" i="13"/>
  <c r="N54" i="13" s="1"/>
  <c r="M55" i="13"/>
  <c r="N55" i="13"/>
  <c r="M56" i="13"/>
  <c r="N56" i="13" s="1"/>
  <c r="M58" i="13"/>
  <c r="N58" i="13"/>
  <c r="M59" i="13"/>
  <c r="N59" i="13" s="1"/>
  <c r="F63" i="13"/>
  <c r="I63" i="13"/>
  <c r="M63" i="13"/>
  <c r="N63" i="13" s="1"/>
  <c r="M77" i="13"/>
  <c r="N77" i="13"/>
  <c r="M78" i="13"/>
  <c r="N78" i="13" s="1"/>
  <c r="M85" i="13"/>
  <c r="N85" i="13"/>
  <c r="M87" i="13"/>
  <c r="N87" i="13" s="1"/>
  <c r="M99" i="13"/>
  <c r="N99" i="13"/>
  <c r="E114" i="13"/>
  <c r="I95" i="13" s="1"/>
  <c r="F95" i="13" s="1"/>
  <c r="P12" i="12"/>
  <c r="Q12" i="12" s="1"/>
  <c r="P13" i="12"/>
  <c r="Q13" i="12" s="1"/>
  <c r="P14" i="12"/>
  <c r="Q14" i="12" s="1"/>
  <c r="P15" i="12"/>
  <c r="Q15" i="12"/>
  <c r="P16" i="12"/>
  <c r="Q16" i="12" s="1"/>
  <c r="P17" i="12"/>
  <c r="P18" i="12"/>
  <c r="P19" i="12"/>
  <c r="Q19" i="12" s="1"/>
  <c r="P20" i="12"/>
  <c r="Q20" i="12"/>
  <c r="I27" i="12"/>
  <c r="I32" i="12" s="1"/>
  <c r="L27" i="12"/>
  <c r="L43" i="12" s="1"/>
  <c r="I28" i="12"/>
  <c r="I92" i="12" s="1"/>
  <c r="L28" i="12"/>
  <c r="L33" i="12" s="1"/>
  <c r="L92" i="12"/>
  <c r="F29" i="12"/>
  <c r="I29" i="12"/>
  <c r="I34" i="12" s="1"/>
  <c r="L29" i="12"/>
  <c r="L34" i="12"/>
  <c r="P30" i="12"/>
  <c r="F32" i="12"/>
  <c r="F33" i="12"/>
  <c r="I33" i="12"/>
  <c r="F34" i="12"/>
  <c r="F35" i="12"/>
  <c r="I35" i="12"/>
  <c r="L35" i="12"/>
  <c r="P35" i="12"/>
  <c r="Q35" i="12" s="1"/>
  <c r="F37" i="12"/>
  <c r="I37" i="12"/>
  <c r="L37" i="12"/>
  <c r="L39" i="12"/>
  <c r="L42" i="12"/>
  <c r="L49" i="12" s="1"/>
  <c r="F43" i="12"/>
  <c r="I44" i="12"/>
  <c r="F45" i="12"/>
  <c r="P45" i="12"/>
  <c r="Q45" i="12" s="1"/>
  <c r="F47" i="12"/>
  <c r="P52" i="12"/>
  <c r="Q52" i="12"/>
  <c r="P53" i="12"/>
  <c r="Q53" i="12" s="1"/>
  <c r="P54" i="12"/>
  <c r="Q54" i="12"/>
  <c r="P55" i="12"/>
  <c r="Q55" i="12" s="1"/>
  <c r="P56" i="12"/>
  <c r="Q56" i="12"/>
  <c r="P58" i="12"/>
  <c r="Q58" i="12" s="1"/>
  <c r="P59" i="12"/>
  <c r="Q59" i="12"/>
  <c r="L61" i="12"/>
  <c r="L62" i="12"/>
  <c r="L63" i="12"/>
  <c r="P89" i="12"/>
  <c r="Q89" i="12"/>
  <c r="L91" i="12"/>
  <c r="F92" i="12"/>
  <c r="P97" i="12"/>
  <c r="Q97" i="12"/>
  <c r="L98" i="12"/>
  <c r="P100" i="12"/>
  <c r="Q100" i="12"/>
  <c r="O12" i="3"/>
  <c r="P12" i="3" s="1"/>
  <c r="O13" i="3"/>
  <c r="P13" i="3"/>
  <c r="O14" i="3"/>
  <c r="P14" i="3" s="1"/>
  <c r="O15" i="3"/>
  <c r="P15" i="3"/>
  <c r="O16" i="3"/>
  <c r="P16" i="3" s="1"/>
  <c r="O17" i="3"/>
  <c r="P17" i="3"/>
  <c r="O18" i="3"/>
  <c r="P18" i="3" s="1"/>
  <c r="O19" i="3"/>
  <c r="P19" i="3"/>
  <c r="O20" i="3"/>
  <c r="P20" i="3" s="1"/>
  <c r="H27" i="3"/>
  <c r="H50" i="3" s="1"/>
  <c r="K27" i="3"/>
  <c r="E29" i="3"/>
  <c r="H29" i="3"/>
  <c r="H34" i="3" s="1"/>
  <c r="K29" i="3"/>
  <c r="K34" i="3" s="1"/>
  <c r="O30" i="3"/>
  <c r="P30" i="3"/>
  <c r="E32" i="3"/>
  <c r="E34" i="3"/>
  <c r="E35" i="3"/>
  <c r="H35" i="3"/>
  <c r="K35" i="3"/>
  <c r="O35" i="3"/>
  <c r="P35" i="3" s="1"/>
  <c r="E37" i="3"/>
  <c r="H37" i="3"/>
  <c r="O37" i="3" s="1"/>
  <c r="P37" i="3" s="1"/>
  <c r="K37" i="3"/>
  <c r="E43" i="3"/>
  <c r="E45" i="3"/>
  <c r="E47" i="3"/>
  <c r="H47" i="3"/>
  <c r="O53" i="3"/>
  <c r="P53" i="3"/>
  <c r="O55" i="3"/>
  <c r="P55" i="3"/>
  <c r="O56" i="3"/>
  <c r="P56" i="3"/>
  <c r="O58" i="3"/>
  <c r="P58" i="3"/>
  <c r="O59" i="3"/>
  <c r="P59" i="3"/>
  <c r="O66" i="3"/>
  <c r="P66" i="3"/>
  <c r="O79" i="3"/>
  <c r="P79" i="3"/>
  <c r="O80" i="3"/>
  <c r="P80" i="3"/>
  <c r="O81" i="3"/>
  <c r="P81" i="3"/>
  <c r="O89" i="3"/>
  <c r="P89" i="3"/>
  <c r="O97" i="3"/>
  <c r="P97" i="3"/>
  <c r="O101" i="3"/>
  <c r="P101" i="3"/>
  <c r="F26" i="9"/>
  <c r="F27" i="9"/>
  <c r="H27" i="9" s="1"/>
  <c r="H29" i="9"/>
  <c r="F28" i="9"/>
  <c r="H28" i="9"/>
  <c r="I21" i="2"/>
  <c r="C57" i="2"/>
  <c r="F57" i="2" s="1"/>
  <c r="J57" i="2" s="1"/>
  <c r="C62" i="2"/>
  <c r="F62" i="2" s="1"/>
  <c r="J62" i="2" s="1"/>
  <c r="I102" i="2"/>
  <c r="H27" i="1"/>
  <c r="AN33" i="1"/>
  <c r="AO33" i="1"/>
  <c r="AP33" i="1"/>
  <c r="AN34" i="1"/>
  <c r="AO34" i="1"/>
  <c r="AP34" i="1"/>
  <c r="AN35" i="1"/>
  <c r="AO35" i="1"/>
  <c r="AP35" i="1"/>
  <c r="AN36" i="1"/>
  <c r="AO36" i="1"/>
  <c r="AP36" i="1"/>
  <c r="F48" i="12"/>
  <c r="F50" i="12"/>
  <c r="H32" i="3"/>
  <c r="H43" i="3"/>
  <c r="P48" i="12"/>
  <c r="Q48" i="12"/>
  <c r="E48" i="3"/>
  <c r="E50" i="3" s="1"/>
  <c r="M89" i="13"/>
  <c r="N89" i="13" s="1"/>
  <c r="M28" i="13"/>
  <c r="I33" i="13"/>
  <c r="M33" i="13" s="1"/>
  <c r="N33" i="13" s="1"/>
  <c r="M90" i="13"/>
  <c r="N90" i="13"/>
  <c r="N16" i="68"/>
  <c r="O16" i="68" s="1"/>
  <c r="P31" i="49" l="1"/>
  <c r="U12" i="25" s="1"/>
  <c r="P35" i="48"/>
  <c r="V12" i="25" s="1"/>
  <c r="Q341" i="68"/>
  <c r="Q340" i="68"/>
  <c r="Q338" i="68"/>
  <c r="Q332" i="68"/>
  <c r="Q277" i="68"/>
  <c r="Q339" i="68"/>
  <c r="R29" i="47"/>
  <c r="R33" i="47"/>
  <c r="E88" i="37"/>
  <c r="N20" i="31"/>
  <c r="G46" i="32"/>
  <c r="N39" i="32"/>
  <c r="G51" i="32"/>
  <c r="N40" i="32"/>
  <c r="G48" i="32"/>
  <c r="N43" i="32"/>
  <c r="H48" i="32"/>
  <c r="P18" i="32" s="1"/>
  <c r="Q18" i="32" s="1"/>
  <c r="R18" i="32" s="1"/>
  <c r="C20" i="40" s="1"/>
  <c r="D20" i="40" s="1"/>
  <c r="N42" i="32"/>
  <c r="G54" i="32"/>
  <c r="H54" i="32" s="1"/>
  <c r="P24" i="32" s="1"/>
  <c r="Q24" i="32" s="1"/>
  <c r="H47" i="32"/>
  <c r="G42" i="32"/>
  <c r="H42" i="32" s="1"/>
  <c r="P12" i="32" s="1"/>
  <c r="Q12" i="32" s="1"/>
  <c r="H15" i="9" s="1"/>
  <c r="H51" i="32"/>
  <c r="P17" i="32"/>
  <c r="Q17" i="32" s="1"/>
  <c r="R17" i="32" s="1"/>
  <c r="C19" i="40" s="1"/>
  <c r="D19" i="40" s="1"/>
  <c r="H53" i="32"/>
  <c r="P23" i="32" s="1"/>
  <c r="Q23" i="32" s="1"/>
  <c r="R23" i="32" s="1"/>
  <c r="C24" i="40" s="1"/>
  <c r="D24" i="40" s="1"/>
  <c r="H46" i="32"/>
  <c r="P16" i="32" s="1"/>
  <c r="Q16" i="32" s="1"/>
  <c r="P25" i="32"/>
  <c r="Q25" i="32" s="1"/>
  <c r="R25" i="32" s="1"/>
  <c r="C26" i="40" s="1"/>
  <c r="D26" i="40" s="1"/>
  <c r="H50" i="32"/>
  <c r="P20" i="32" s="1"/>
  <c r="Q20" i="32" s="1"/>
  <c r="R20" i="32" s="1"/>
  <c r="C22" i="40" s="1"/>
  <c r="D22" i="40" s="1"/>
  <c r="H61" i="32"/>
  <c r="P31" i="32" s="1"/>
  <c r="Q31" i="32" s="1"/>
  <c r="H57" i="32"/>
  <c r="P27" i="32" s="1"/>
  <c r="Q27" i="32" s="1"/>
  <c r="R27" i="32" s="1"/>
  <c r="H56" i="32"/>
  <c r="P26" i="32" s="1"/>
  <c r="Q26" i="32" s="1"/>
  <c r="R26" i="32" s="1"/>
  <c r="C27" i="40" s="1"/>
  <c r="D27" i="40" s="1"/>
  <c r="Q51" i="38"/>
  <c r="R51" i="38"/>
  <c r="F10" i="28"/>
  <c r="H43" i="30"/>
  <c r="N97" i="46"/>
  <c r="O97" i="46"/>
  <c r="P97" i="46"/>
  <c r="L97" i="46"/>
  <c r="Q97" i="46" s="1"/>
  <c r="N99" i="46"/>
  <c r="M97" i="46"/>
  <c r="M75" i="46"/>
  <c r="N75" i="46" s="1"/>
  <c r="Q40" i="30"/>
  <c r="O51" i="30"/>
  <c r="N51" i="30"/>
  <c r="H40" i="30"/>
  <c r="L28" i="30"/>
  <c r="C80" i="2"/>
  <c r="F80" i="2" s="1"/>
  <c r="J80" i="2" s="1"/>
  <c r="P34" i="12"/>
  <c r="Q34" i="12" s="1"/>
  <c r="L73" i="14"/>
  <c r="M89" i="37"/>
  <c r="Q92" i="31"/>
  <c r="L60" i="14"/>
  <c r="V13" i="37"/>
  <c r="X13" i="37" s="1"/>
  <c r="Y13" i="37" s="1"/>
  <c r="U58" i="37"/>
  <c r="N11" i="37"/>
  <c r="P11" i="37" s="1"/>
  <c r="Q11" i="37" s="1"/>
  <c r="Q103" i="47"/>
  <c r="L90" i="31"/>
  <c r="R90" i="31" s="1"/>
  <c r="R204" i="47"/>
  <c r="R51" i="47"/>
  <c r="L50" i="14"/>
  <c r="L65" i="14"/>
  <c r="L42" i="14"/>
  <c r="E36" i="37"/>
  <c r="L58" i="14"/>
  <c r="L44" i="14"/>
  <c r="U41" i="37"/>
  <c r="Y41" i="37" s="1"/>
  <c r="R277" i="47"/>
  <c r="R279" i="47"/>
  <c r="V57" i="37"/>
  <c r="X57" i="37" s="1"/>
  <c r="Y57" i="37" s="1"/>
  <c r="V11" i="37"/>
  <c r="X11" i="37" s="1"/>
  <c r="U72" i="31"/>
  <c r="S73" i="37" s="1"/>
  <c r="U73" i="37" s="1"/>
  <c r="W56" i="31"/>
  <c r="AB56" i="31" s="1"/>
  <c r="Q110" i="47"/>
  <c r="X72" i="31"/>
  <c r="Z72" i="31" s="1"/>
  <c r="C73" i="31"/>
  <c r="E73" i="31" s="1"/>
  <c r="E63" i="37"/>
  <c r="I63" i="37" s="1"/>
  <c r="K90" i="37"/>
  <c r="N90" i="37" s="1"/>
  <c r="P90" i="37" s="1"/>
  <c r="L92" i="31"/>
  <c r="N92" i="31" s="1"/>
  <c r="S92" i="31" s="1"/>
  <c r="C28" i="29" s="1"/>
  <c r="U73" i="31"/>
  <c r="W73" i="31" s="1"/>
  <c r="N21" i="31"/>
  <c r="S21" i="31" s="1"/>
  <c r="C90" i="31"/>
  <c r="E90" i="31" s="1"/>
  <c r="J90" i="31" s="1"/>
  <c r="R202" i="47"/>
  <c r="R60" i="31"/>
  <c r="C58" i="15" s="1"/>
  <c r="J58" i="15" s="1"/>
  <c r="Q19" i="47"/>
  <c r="R19" i="47" s="1"/>
  <c r="F57" i="37"/>
  <c r="H57" i="37" s="1"/>
  <c r="I57" i="37" s="1"/>
  <c r="E27" i="37"/>
  <c r="I27" i="37" s="1"/>
  <c r="Y58" i="37"/>
  <c r="L73" i="31"/>
  <c r="K74" i="37" s="1"/>
  <c r="N74" i="37" s="1"/>
  <c r="P74" i="37" s="1"/>
  <c r="Q115" i="47"/>
  <c r="P32" i="32"/>
  <c r="Q32" i="32" s="1"/>
  <c r="R32" i="32" s="1"/>
  <c r="C32" i="40" s="1"/>
  <c r="D32" i="40" s="1"/>
  <c r="H27" i="6"/>
  <c r="J26" i="28"/>
  <c r="E14" i="6"/>
  <c r="F10" i="6"/>
  <c r="F16" i="28"/>
  <c r="G12" i="28" s="1"/>
  <c r="G26" i="26" s="1"/>
  <c r="D14" i="6"/>
  <c r="F14" i="6" s="1"/>
  <c r="P34" i="48"/>
  <c r="Q45" i="30"/>
  <c r="H44" i="30"/>
  <c r="G54" i="39"/>
  <c r="G50" i="39"/>
  <c r="K49" i="39"/>
  <c r="J43" i="39"/>
  <c r="P37" i="12"/>
  <c r="Q37" i="12" s="1"/>
  <c r="P29" i="12"/>
  <c r="Q29" i="12" s="1"/>
  <c r="P33" i="12"/>
  <c r="Q33" i="12" s="1"/>
  <c r="C73" i="2"/>
  <c r="F73" i="2" s="1"/>
  <c r="J73" i="2" s="1"/>
  <c r="D125" i="7"/>
  <c r="Q329" i="68"/>
  <c r="Q331" i="68"/>
  <c r="Q330" i="68"/>
  <c r="Q337" i="68"/>
  <c r="Q325" i="68"/>
  <c r="L354" i="68"/>
  <c r="O44" i="68"/>
  <c r="N59" i="68"/>
  <c r="Q59" i="68"/>
  <c r="Q317" i="68"/>
  <c r="Q270" i="68"/>
  <c r="Q233" i="68"/>
  <c r="Q203" i="68"/>
  <c r="O281" i="68"/>
  <c r="P297" i="68"/>
  <c r="R297" i="68" s="1"/>
  <c r="V297" i="68" s="1"/>
  <c r="W297" i="68" s="1"/>
  <c r="Y297" i="68" s="1"/>
  <c r="Q19" i="68"/>
  <c r="R19" i="68" s="1"/>
  <c r="O25" i="68"/>
  <c r="V25" i="68" s="1"/>
  <c r="N68" i="68"/>
  <c r="Q71" i="46"/>
  <c r="N73" i="46" s="1"/>
  <c r="P73" i="46"/>
  <c r="Q20" i="68"/>
  <c r="P151" i="68"/>
  <c r="T151" i="68" s="1"/>
  <c r="R21" i="68"/>
  <c r="J29" i="9"/>
  <c r="J30" i="9"/>
  <c r="E47" i="43"/>
  <c r="E45" i="43"/>
  <c r="E46" i="43"/>
  <c r="D59" i="25"/>
  <c r="E57" i="25" s="1"/>
  <c r="G13" i="25" s="1"/>
  <c r="E35" i="43"/>
  <c r="G19" i="41"/>
  <c r="G31" i="41" s="1"/>
  <c r="J48" i="39"/>
  <c r="C100" i="2"/>
  <c r="F100" i="2" s="1"/>
  <c r="D206" i="7"/>
  <c r="F21" i="41"/>
  <c r="F23" i="41" s="1"/>
  <c r="H74" i="9" s="1"/>
  <c r="H99" i="2" s="1"/>
  <c r="D205" i="7"/>
  <c r="L66" i="14"/>
  <c r="M69" i="37"/>
  <c r="Q69" i="37" s="1"/>
  <c r="U42" i="37"/>
  <c r="Y42" i="37" s="1"/>
  <c r="N67" i="37"/>
  <c r="P67" i="37" s="1"/>
  <c r="Q67" i="37" s="1"/>
  <c r="L49" i="14"/>
  <c r="U65" i="37"/>
  <c r="Y65" i="37" s="1"/>
  <c r="E59" i="37"/>
  <c r="L59" i="14"/>
  <c r="L68" i="14"/>
  <c r="F24" i="34"/>
  <c r="H17" i="33"/>
  <c r="H22" i="33" s="1"/>
  <c r="R29" i="32"/>
  <c r="C30" i="40" s="1"/>
  <c r="D30" i="40" s="1"/>
  <c r="P161" i="68"/>
  <c r="R161" i="68" s="1"/>
  <c r="V224" i="68"/>
  <c r="W224" i="68" s="1"/>
  <c r="Y224" i="68" s="1"/>
  <c r="V153" i="68"/>
  <c r="W153" i="68" s="1"/>
  <c r="Y153" i="68" s="1"/>
  <c r="V127" i="68"/>
  <c r="W127" i="68" s="1"/>
  <c r="Y127" i="68" s="1"/>
  <c r="W62" i="31"/>
  <c r="AB62" i="31" s="1"/>
  <c r="S63" i="37"/>
  <c r="V69" i="37"/>
  <c r="X69" i="37" s="1"/>
  <c r="U69" i="37"/>
  <c r="W49" i="31"/>
  <c r="S50" i="37"/>
  <c r="E64" i="31"/>
  <c r="J64" i="31" s="1"/>
  <c r="C65" i="37"/>
  <c r="F47" i="37"/>
  <c r="H47" i="37" s="1"/>
  <c r="E47" i="37"/>
  <c r="W31" i="31"/>
  <c r="AB31" i="31" s="1"/>
  <c r="S32" i="37"/>
  <c r="E19" i="37"/>
  <c r="F19" i="37"/>
  <c r="H19" i="37" s="1"/>
  <c r="V43" i="37"/>
  <c r="X43" i="37" s="1"/>
  <c r="Y43" i="37" s="1"/>
  <c r="W66" i="31"/>
  <c r="AB66" i="31" s="1"/>
  <c r="S67" i="37"/>
  <c r="N45" i="31"/>
  <c r="K46" i="37"/>
  <c r="N36" i="31"/>
  <c r="S36" i="31" s="1"/>
  <c r="K37" i="37"/>
  <c r="N57" i="31"/>
  <c r="S57" i="31" s="1"/>
  <c r="K58" i="37"/>
  <c r="N58" i="37" s="1"/>
  <c r="P58" i="37" s="1"/>
  <c r="E48" i="31"/>
  <c r="C49" i="37"/>
  <c r="W44" i="31"/>
  <c r="AB44" i="31" s="1"/>
  <c r="S45" i="37"/>
  <c r="N13" i="31"/>
  <c r="S13" i="31" s="1"/>
  <c r="K14" i="37"/>
  <c r="V24" i="37"/>
  <c r="X24" i="37" s="1"/>
  <c r="U24" i="37"/>
  <c r="L72" i="31"/>
  <c r="K73" i="37" s="1"/>
  <c r="N53" i="31"/>
  <c r="K54" i="37"/>
  <c r="N42" i="31"/>
  <c r="S42" i="31" s="1"/>
  <c r="K43" i="37"/>
  <c r="W39" i="31"/>
  <c r="S40" i="37"/>
  <c r="W29" i="31"/>
  <c r="S30" i="37"/>
  <c r="W48" i="31"/>
  <c r="S49" i="37"/>
  <c r="W43" i="31"/>
  <c r="S44" i="37"/>
  <c r="N12" i="31"/>
  <c r="S12" i="31" s="1"/>
  <c r="K13" i="37"/>
  <c r="W22" i="31"/>
  <c r="S23" i="37"/>
  <c r="M16" i="37"/>
  <c r="Q16" i="37" s="1"/>
  <c r="M47" i="37"/>
  <c r="Q47" i="37" s="1"/>
  <c r="U90" i="31"/>
  <c r="W90" i="31" s="1"/>
  <c r="AB90" i="31" s="1"/>
  <c r="N62" i="31"/>
  <c r="K63" i="37"/>
  <c r="E44" i="31"/>
  <c r="C45" i="37"/>
  <c r="C92" i="31"/>
  <c r="I92" i="31" s="1"/>
  <c r="C90" i="37"/>
  <c r="C92" i="37" s="1"/>
  <c r="U89" i="31"/>
  <c r="W89" i="31" s="1"/>
  <c r="AB89" i="31" s="1"/>
  <c r="S88" i="37"/>
  <c r="V88" i="37" s="1"/>
  <c r="X88" i="37" s="1"/>
  <c r="N56" i="31"/>
  <c r="K57" i="37"/>
  <c r="E67" i="31"/>
  <c r="C68" i="37"/>
  <c r="R198" i="47"/>
  <c r="N11" i="31"/>
  <c r="K12" i="37"/>
  <c r="N22" i="31"/>
  <c r="K23" i="37"/>
  <c r="N49" i="31"/>
  <c r="S49" i="31" s="1"/>
  <c r="K50" i="37"/>
  <c r="E60" i="31"/>
  <c r="J60" i="31" s="1"/>
  <c r="C61" i="37"/>
  <c r="W67" i="31"/>
  <c r="S68" i="37"/>
  <c r="N31" i="31"/>
  <c r="S31" i="31" s="1"/>
  <c r="K32" i="37"/>
  <c r="N44" i="31"/>
  <c r="K45" i="37"/>
  <c r="V21" i="37"/>
  <c r="X21" i="37" s="1"/>
  <c r="U21" i="37"/>
  <c r="W264" i="47"/>
  <c r="X264" i="47" s="1"/>
  <c r="U37" i="31" s="1"/>
  <c r="E42" i="31"/>
  <c r="C43" i="37"/>
  <c r="W46" i="31"/>
  <c r="AB46" i="31" s="1"/>
  <c r="S47" i="37"/>
  <c r="C89" i="31"/>
  <c r="E89" i="31" s="1"/>
  <c r="N64" i="31"/>
  <c r="S64" i="31" s="1"/>
  <c r="K65" i="37"/>
  <c r="W61" i="31"/>
  <c r="AB61" i="31" s="1"/>
  <c r="S62" i="37"/>
  <c r="N48" i="31"/>
  <c r="K49" i="37"/>
  <c r="M21" i="37"/>
  <c r="N21" i="37"/>
  <c r="P21" i="37" s="1"/>
  <c r="Q87" i="47"/>
  <c r="Q28" i="47"/>
  <c r="R28" i="47" s="1"/>
  <c r="M51" i="37"/>
  <c r="Q51" i="37" s="1"/>
  <c r="L89" i="31"/>
  <c r="N89" i="31" s="1"/>
  <c r="K88" i="37"/>
  <c r="N88" i="37" s="1"/>
  <c r="W53" i="31"/>
  <c r="S54" i="37"/>
  <c r="E31" i="31"/>
  <c r="C32" i="37"/>
  <c r="N47" i="31"/>
  <c r="K48" i="37"/>
  <c r="N61" i="31"/>
  <c r="K62" i="37"/>
  <c r="W47" i="31"/>
  <c r="AB47" i="31" s="1"/>
  <c r="S48" i="37"/>
  <c r="E13" i="31"/>
  <c r="C14" i="37"/>
  <c r="E65" i="31"/>
  <c r="C66" i="37"/>
  <c r="N43" i="31"/>
  <c r="K44" i="37"/>
  <c r="U60" i="31"/>
  <c r="AA60" i="31" s="1"/>
  <c r="W36" i="31"/>
  <c r="AB36" i="31" s="1"/>
  <c r="S37" i="37"/>
  <c r="W13" i="31"/>
  <c r="AB13" i="31" s="1"/>
  <c r="S14" i="37"/>
  <c r="V22" i="37"/>
  <c r="X22" i="37" s="1"/>
  <c r="U22" i="37"/>
  <c r="N67" i="31"/>
  <c r="S67" i="31" s="1"/>
  <c r="K68" i="37"/>
  <c r="N60" i="31"/>
  <c r="K61" i="37"/>
  <c r="W45" i="31"/>
  <c r="S46" i="37"/>
  <c r="P104" i="47"/>
  <c r="N22" i="37"/>
  <c r="P22" i="37" s="1"/>
  <c r="M22" i="37"/>
  <c r="I27" i="6"/>
  <c r="I28" i="28"/>
  <c r="H28" i="28"/>
  <c r="G27" i="6"/>
  <c r="J22" i="28"/>
  <c r="C28" i="28"/>
  <c r="J10" i="6"/>
  <c r="F12" i="6"/>
  <c r="F16" i="6"/>
  <c r="E51" i="30"/>
  <c r="Q48" i="30"/>
  <c r="H48" i="30"/>
  <c r="E21" i="36"/>
  <c r="C22" i="36"/>
  <c r="E22" i="36" s="1"/>
  <c r="Q44" i="30"/>
  <c r="E20" i="36"/>
  <c r="Q43" i="30"/>
  <c r="E19" i="36"/>
  <c r="G51" i="30"/>
  <c r="E17" i="36"/>
  <c r="E16" i="36"/>
  <c r="Q39" i="30"/>
  <c r="H38" i="30"/>
  <c r="H26" i="30"/>
  <c r="AE35" i="48"/>
  <c r="AE39" i="48" s="1"/>
  <c r="AC35" i="48"/>
  <c r="AC39" i="48" s="1"/>
  <c r="AG35" i="48"/>
  <c r="AG39" i="48" s="1"/>
  <c r="AI35" i="48"/>
  <c r="AI39" i="48" s="1"/>
  <c r="AA35" i="48"/>
  <c r="AA39" i="48" s="1"/>
  <c r="Y35" i="48"/>
  <c r="Y39" i="48" s="1"/>
  <c r="U35" i="48"/>
  <c r="U39" i="48" s="1"/>
  <c r="V39" i="48" s="1"/>
  <c r="X73" i="31"/>
  <c r="Z73" i="31" s="1"/>
  <c r="Q200" i="47"/>
  <c r="Q275" i="47" s="1"/>
  <c r="R275" i="47" s="1"/>
  <c r="Q186" i="47"/>
  <c r="Q258" i="47" s="1"/>
  <c r="R258" i="47" s="1"/>
  <c r="R42" i="47"/>
  <c r="Q98" i="47"/>
  <c r="R273" i="47"/>
  <c r="Q188" i="47"/>
  <c r="Q263" i="47" s="1"/>
  <c r="R263" i="47" s="1"/>
  <c r="F21" i="31"/>
  <c r="H21" i="31" s="1"/>
  <c r="AC264" i="47"/>
  <c r="AD264" i="47" s="1"/>
  <c r="X37" i="31" s="1"/>
  <c r="Q203" i="47"/>
  <c r="Q278" i="47" s="1"/>
  <c r="R278" i="47" s="1"/>
  <c r="Q190" i="47"/>
  <c r="Q268" i="47" s="1"/>
  <c r="R268" i="47" s="1"/>
  <c r="Q99" i="47"/>
  <c r="Q192" i="47"/>
  <c r="R11" i="47"/>
  <c r="Q197" i="47"/>
  <c r="Q272" i="47" s="1"/>
  <c r="R272" i="47" s="1"/>
  <c r="Q88" i="47"/>
  <c r="R43" i="47" s="1"/>
  <c r="Q191" i="47"/>
  <c r="O72" i="31"/>
  <c r="Q72" i="31" s="1"/>
  <c r="Q185" i="47"/>
  <c r="Q257" i="47" s="1"/>
  <c r="R257" i="47" s="1"/>
  <c r="Q201" i="47"/>
  <c r="Q276" i="47" s="1"/>
  <c r="R276" i="47" s="1"/>
  <c r="Q199" i="47"/>
  <c r="Q274" i="47" s="1"/>
  <c r="R274" i="47" s="1"/>
  <c r="Q189" i="47"/>
  <c r="Q264" i="47" s="1"/>
  <c r="R264" i="47" s="1"/>
  <c r="Q182" i="47"/>
  <c r="Q254" i="47" s="1"/>
  <c r="R254" i="47" s="1"/>
  <c r="N41" i="31"/>
  <c r="K42" i="37"/>
  <c r="E41" i="31"/>
  <c r="C42" i="37"/>
  <c r="N41" i="37"/>
  <c r="P41" i="37" s="1"/>
  <c r="Q41" i="37" s="1"/>
  <c r="N39" i="31"/>
  <c r="K40" i="37"/>
  <c r="E39" i="31"/>
  <c r="C40" i="37"/>
  <c r="N37" i="31"/>
  <c r="K38" i="37"/>
  <c r="N34" i="31"/>
  <c r="K35" i="37"/>
  <c r="W92" i="31"/>
  <c r="S90" i="37"/>
  <c r="V90" i="37" s="1"/>
  <c r="X90" i="37" s="1"/>
  <c r="E89" i="37"/>
  <c r="I89" i="37" s="1"/>
  <c r="E49" i="31"/>
  <c r="J49" i="31" s="1"/>
  <c r="C50" i="37"/>
  <c r="W59" i="31"/>
  <c r="S60" i="37"/>
  <c r="N59" i="31"/>
  <c r="K60" i="37"/>
  <c r="E59" i="31"/>
  <c r="C60" i="37"/>
  <c r="W55" i="31"/>
  <c r="S56" i="37"/>
  <c r="N55" i="31"/>
  <c r="K56" i="37"/>
  <c r="E55" i="31"/>
  <c r="C56" i="37"/>
  <c r="W58" i="31"/>
  <c r="AB58" i="31" s="1"/>
  <c r="S59" i="37"/>
  <c r="N58" i="31"/>
  <c r="K59" i="37"/>
  <c r="W54" i="31"/>
  <c r="S55" i="37"/>
  <c r="N54" i="31"/>
  <c r="K55" i="37"/>
  <c r="E54" i="31"/>
  <c r="J54" i="31" s="1"/>
  <c r="C55" i="37"/>
  <c r="E57" i="31"/>
  <c r="J57" i="31" s="1"/>
  <c r="C58" i="37"/>
  <c r="E53" i="31"/>
  <c r="C54" i="37"/>
  <c r="E66" i="31"/>
  <c r="C67" i="37"/>
  <c r="F67" i="37" s="1"/>
  <c r="H67" i="37" s="1"/>
  <c r="E68" i="31"/>
  <c r="C69" i="37"/>
  <c r="E40" i="31"/>
  <c r="C41" i="37"/>
  <c r="Q196" i="47"/>
  <c r="Q271" i="47" s="1"/>
  <c r="R271" i="47" s="1"/>
  <c r="Q187" i="47"/>
  <c r="Q262" i="47" s="1"/>
  <c r="R262" i="47" s="1"/>
  <c r="E36" i="31"/>
  <c r="C37" i="37"/>
  <c r="Q184" i="47"/>
  <c r="Q256" i="47" s="1"/>
  <c r="R256" i="47" s="1"/>
  <c r="U35" i="37"/>
  <c r="Y35" i="37" s="1"/>
  <c r="Q183" i="47"/>
  <c r="Q255" i="47" s="1"/>
  <c r="R255" i="47" s="1"/>
  <c r="E34" i="31"/>
  <c r="C35" i="37"/>
  <c r="H36" i="37" s="1"/>
  <c r="Q181" i="47"/>
  <c r="Q253" i="47" s="1"/>
  <c r="R253" i="47" s="1"/>
  <c r="W65" i="31"/>
  <c r="AB65" i="31" s="1"/>
  <c r="S66" i="37"/>
  <c r="N65" i="31"/>
  <c r="S65" i="31" s="1"/>
  <c r="K66" i="37"/>
  <c r="W30" i="31"/>
  <c r="AB30" i="31" s="1"/>
  <c r="S31" i="37"/>
  <c r="N30" i="31"/>
  <c r="K31" i="37"/>
  <c r="E30" i="31"/>
  <c r="J30" i="31" s="1"/>
  <c r="C31" i="37"/>
  <c r="E31" i="37" s="1"/>
  <c r="W50" i="31"/>
  <c r="S51" i="37"/>
  <c r="E50" i="31"/>
  <c r="C51" i="37"/>
  <c r="F51" i="37" s="1"/>
  <c r="H51" i="37" s="1"/>
  <c r="C72" i="31"/>
  <c r="N29" i="31"/>
  <c r="K30" i="37"/>
  <c r="E29" i="31"/>
  <c r="C30" i="37"/>
  <c r="W63" i="31"/>
  <c r="S64" i="37"/>
  <c r="N63" i="31"/>
  <c r="K64" i="37"/>
  <c r="E63" i="31"/>
  <c r="C64" i="37"/>
  <c r="E61" i="31"/>
  <c r="C62" i="37"/>
  <c r="E47" i="31"/>
  <c r="J47" i="31" s="1"/>
  <c r="C48" i="37"/>
  <c r="E45" i="31"/>
  <c r="C46" i="37"/>
  <c r="E43" i="31"/>
  <c r="J43" i="31" s="1"/>
  <c r="C44" i="37"/>
  <c r="W26" i="31"/>
  <c r="S27" i="37"/>
  <c r="N26" i="31"/>
  <c r="K27" i="37"/>
  <c r="E12" i="31"/>
  <c r="J12" i="31" s="1"/>
  <c r="C13" i="37"/>
  <c r="W11" i="31"/>
  <c r="S12" i="37"/>
  <c r="E11" i="31"/>
  <c r="C12" i="37"/>
  <c r="E10" i="31"/>
  <c r="J10" i="31" s="1"/>
  <c r="C11" i="37"/>
  <c r="E22" i="31"/>
  <c r="C23" i="37"/>
  <c r="F22" i="37"/>
  <c r="H22" i="37" s="1"/>
  <c r="E22" i="37"/>
  <c r="E20" i="31"/>
  <c r="F21" i="37"/>
  <c r="H21" i="37" s="1"/>
  <c r="E21" i="37"/>
  <c r="N19" i="31"/>
  <c r="K20" i="37"/>
  <c r="E20" i="37"/>
  <c r="I20" i="37" s="1"/>
  <c r="W16" i="31"/>
  <c r="S17" i="37"/>
  <c r="W15" i="31"/>
  <c r="S16" i="37"/>
  <c r="E14" i="31"/>
  <c r="C15" i="37"/>
  <c r="Q49" i="30"/>
  <c r="H49" i="30"/>
  <c r="Q47" i="30"/>
  <c r="Q26" i="30"/>
  <c r="Q25" i="30"/>
  <c r="H25" i="30"/>
  <c r="Q24" i="30"/>
  <c r="H24" i="30"/>
  <c r="C36" i="27"/>
  <c r="C12" i="27"/>
  <c r="C34" i="27"/>
  <c r="D35" i="5"/>
  <c r="H35" i="5" s="1"/>
  <c r="I35" i="5" s="1"/>
  <c r="C55" i="27"/>
  <c r="D38" i="5"/>
  <c r="H38" i="5" s="1"/>
  <c r="I38" i="5" s="1"/>
  <c r="C33" i="27"/>
  <c r="A13" i="27"/>
  <c r="D37" i="5"/>
  <c r="H37" i="5" s="1"/>
  <c r="I37" i="5" s="1"/>
  <c r="C10" i="27"/>
  <c r="D12" i="5"/>
  <c r="H12" i="5" s="1"/>
  <c r="I12" i="5" s="1"/>
  <c r="D59" i="5"/>
  <c r="H59" i="5" s="1"/>
  <c r="I59" i="5" s="1"/>
  <c r="C58" i="27"/>
  <c r="C19" i="27"/>
  <c r="C53" i="27"/>
  <c r="E23" i="27"/>
  <c r="D66" i="25" s="1"/>
  <c r="G56" i="39"/>
  <c r="K59" i="39"/>
  <c r="G51" i="39"/>
  <c r="K51" i="39"/>
  <c r="H30" i="39"/>
  <c r="I30" i="39"/>
  <c r="J45" i="39"/>
  <c r="D48" i="39"/>
  <c r="J49" i="39"/>
  <c r="N45" i="7"/>
  <c r="P45" i="7" s="1"/>
  <c r="L47" i="7"/>
  <c r="N26" i="7"/>
  <c r="P26" i="7" s="1"/>
  <c r="C74" i="3"/>
  <c r="L53" i="8"/>
  <c r="I27" i="3"/>
  <c r="F221" i="7"/>
  <c r="P114" i="68"/>
  <c r="T114" i="68" s="1"/>
  <c r="N351" i="68"/>
  <c r="P221" i="68"/>
  <c r="T221" i="68" s="1"/>
  <c r="P98" i="68"/>
  <c r="T98" i="68" s="1"/>
  <c r="P173" i="68"/>
  <c r="R173" i="68" s="1"/>
  <c r="P156" i="68"/>
  <c r="T156" i="68" s="1"/>
  <c r="V100" i="68"/>
  <c r="W100" i="68" s="1"/>
  <c r="Y100" i="68" s="1"/>
  <c r="P91" i="68"/>
  <c r="T91" i="68" s="1"/>
  <c r="P210" i="68"/>
  <c r="R210" i="68" s="1"/>
  <c r="V210" i="68" s="1"/>
  <c r="W210" i="68" s="1"/>
  <c r="Y210" i="68" s="1"/>
  <c r="P159" i="68"/>
  <c r="T159" i="68" s="1"/>
  <c r="V113" i="68"/>
  <c r="W113" i="68" s="1"/>
  <c r="Y113" i="68" s="1"/>
  <c r="V302" i="68"/>
  <c r="W302" i="68" s="1"/>
  <c r="Y302" i="68" s="1"/>
  <c r="P153" i="68"/>
  <c r="T153" i="68" s="1"/>
  <c r="P138" i="68"/>
  <c r="T138" i="68" s="1"/>
  <c r="V75" i="68"/>
  <c r="W75" i="68" s="1"/>
  <c r="Y75" i="68" s="1"/>
  <c r="P176" i="68"/>
  <c r="T176" i="68" s="1"/>
  <c r="N270" i="68"/>
  <c r="V206" i="68"/>
  <c r="W206" i="68" s="1"/>
  <c r="Y206" i="68" s="1"/>
  <c r="V103" i="68"/>
  <c r="W103" i="68" s="1"/>
  <c r="Y103" i="68" s="1"/>
  <c r="P334" i="68"/>
  <c r="T334" i="68" s="1"/>
  <c r="V114" i="68"/>
  <c r="W114" i="68" s="1"/>
  <c r="Y114" i="68" s="1"/>
  <c r="P167" i="68"/>
  <c r="R167" i="68" s="1"/>
  <c r="V164" i="68"/>
  <c r="W164" i="68" s="1"/>
  <c r="Y164" i="68" s="1"/>
  <c r="V77" i="68"/>
  <c r="W77" i="68" s="1"/>
  <c r="Y77" i="68" s="1"/>
  <c r="V171" i="68"/>
  <c r="W171" i="68" s="1"/>
  <c r="Y171" i="68" s="1"/>
  <c r="V156" i="68"/>
  <c r="W156" i="68" s="1"/>
  <c r="Y156" i="68" s="1"/>
  <c r="V122" i="68"/>
  <c r="W122" i="68" s="1"/>
  <c r="Y122" i="68" s="1"/>
  <c r="P116" i="68"/>
  <c r="T116" i="68" s="1"/>
  <c r="V221" i="68"/>
  <c r="W221" i="68" s="1"/>
  <c r="Y221" i="68" s="1"/>
  <c r="P170" i="68"/>
  <c r="R170" i="68" s="1"/>
  <c r="V170" i="68" s="1"/>
  <c r="W170" i="68" s="1"/>
  <c r="Y170" i="68" s="1"/>
  <c r="V160" i="68"/>
  <c r="W160" i="68" s="1"/>
  <c r="Y160" i="68" s="1"/>
  <c r="V82" i="68"/>
  <c r="W82" i="68" s="1"/>
  <c r="Y82" i="68" s="1"/>
  <c r="P207" i="68"/>
  <c r="T207" i="68" s="1"/>
  <c r="V108" i="68"/>
  <c r="W108" i="68" s="1"/>
  <c r="Y108" i="68" s="1"/>
  <c r="V91" i="68"/>
  <c r="W91" i="68" s="1"/>
  <c r="Y91" i="68" s="1"/>
  <c r="P165" i="68"/>
  <c r="R165" i="68" s="1"/>
  <c r="P150" i="68"/>
  <c r="R150" i="68" s="1"/>
  <c r="V298" i="68"/>
  <c r="W298" i="68" s="1"/>
  <c r="Y298" i="68" s="1"/>
  <c r="P134" i="68"/>
  <c r="T134" i="68" s="1"/>
  <c r="P127" i="68"/>
  <c r="T127" i="68" s="1"/>
  <c r="P126" i="68"/>
  <c r="T126" i="68" s="1"/>
  <c r="V124" i="68"/>
  <c r="W124" i="68" s="1"/>
  <c r="Y124" i="68" s="1"/>
  <c r="V86" i="68"/>
  <c r="W86" i="68" s="1"/>
  <c r="Y86" i="68" s="1"/>
  <c r="V83" i="68"/>
  <c r="W83" i="68" s="1"/>
  <c r="Y83" i="68" s="1"/>
  <c r="P74" i="68"/>
  <c r="T74" i="68" s="1"/>
  <c r="V17" i="68"/>
  <c r="W17" i="68" s="1"/>
  <c r="Y17" i="68" s="1"/>
  <c r="V340" i="68"/>
  <c r="P335" i="68"/>
  <c r="R335" i="68" s="1"/>
  <c r="V239" i="68"/>
  <c r="W239" i="68" s="1"/>
  <c r="Y239" i="68" s="1"/>
  <c r="V90" i="68"/>
  <c r="W90" i="68" s="1"/>
  <c r="Y90" i="68" s="1"/>
  <c r="V336" i="68"/>
  <c r="W336" i="68" s="1"/>
  <c r="Y336" i="68" s="1"/>
  <c r="V322" i="68"/>
  <c r="W322" i="68" s="1"/>
  <c r="Y322" i="68" s="1"/>
  <c r="N233" i="68"/>
  <c r="V46" i="68"/>
  <c r="W46" i="68" s="1"/>
  <c r="Y46" i="68" s="1"/>
  <c r="V259" i="68"/>
  <c r="W259" i="68" s="1"/>
  <c r="Y259" i="68" s="1"/>
  <c r="V166" i="68"/>
  <c r="W166" i="68" s="1"/>
  <c r="Y166" i="68" s="1"/>
  <c r="P120" i="68"/>
  <c r="R120" i="68" s="1"/>
  <c r="V115" i="68"/>
  <c r="W115" i="68" s="1"/>
  <c r="Y115" i="68" s="1"/>
  <c r="P63" i="68"/>
  <c r="P25" i="68"/>
  <c r="N325" i="68"/>
  <c r="P175" i="68"/>
  <c r="R175" i="68" s="1"/>
  <c r="P169" i="68"/>
  <c r="T169" i="68" s="1"/>
  <c r="V165" i="68"/>
  <c r="W165" i="68" s="1"/>
  <c r="Y165" i="68" s="1"/>
  <c r="O63" i="68"/>
  <c r="P337" i="68"/>
  <c r="P333" i="68"/>
  <c r="R333" i="68" s="1"/>
  <c r="V207" i="68"/>
  <c r="W207" i="68" s="1"/>
  <c r="Y207" i="68" s="1"/>
  <c r="V130" i="68"/>
  <c r="W130" i="68" s="1"/>
  <c r="Y130" i="68" s="1"/>
  <c r="V129" i="68"/>
  <c r="W129" i="68" s="1"/>
  <c r="Y129" i="68" s="1"/>
  <c r="P128" i="68"/>
  <c r="R128" i="68" s="1"/>
  <c r="P121" i="68"/>
  <c r="R121" i="68" s="1"/>
  <c r="P87" i="68"/>
  <c r="R87" i="68" s="1"/>
  <c r="P48" i="68"/>
  <c r="R48" i="68" s="1"/>
  <c r="T48" i="68" s="1"/>
  <c r="P308" i="68"/>
  <c r="T308" i="68" s="1"/>
  <c r="N203" i="68"/>
  <c r="P171" i="68"/>
  <c r="R171" i="68" s="1"/>
  <c r="V87" i="68"/>
  <c r="W87" i="68" s="1"/>
  <c r="Y87" i="68" s="1"/>
  <c r="V147" i="68"/>
  <c r="W147" i="68" s="1"/>
  <c r="Y147" i="68" s="1"/>
  <c r="P223" i="68"/>
  <c r="R223" i="68" s="1"/>
  <c r="V26" i="68"/>
  <c r="W26" i="68" s="1"/>
  <c r="Y26" i="68" s="1"/>
  <c r="V223" i="68"/>
  <c r="W223" i="68" s="1"/>
  <c r="Y223" i="68" s="1"/>
  <c r="P164" i="68"/>
  <c r="T164" i="68" s="1"/>
  <c r="V85" i="68"/>
  <c r="W85" i="68" s="1"/>
  <c r="Y85" i="68" s="1"/>
  <c r="P166" i="68"/>
  <c r="R166" i="68" s="1"/>
  <c r="V215" i="68"/>
  <c r="W215" i="68" s="1"/>
  <c r="Y215" i="68" s="1"/>
  <c r="V181" i="68"/>
  <c r="W181" i="68" s="1"/>
  <c r="Y181" i="68" s="1"/>
  <c r="V119" i="68"/>
  <c r="W119" i="68" s="1"/>
  <c r="Y119" i="68" s="1"/>
  <c r="P86" i="68"/>
  <c r="R86" i="68" s="1"/>
  <c r="P130" i="68"/>
  <c r="R130" i="68" s="1"/>
  <c r="N277" i="68"/>
  <c r="V251" i="68"/>
  <c r="W251" i="68" s="1"/>
  <c r="Y251" i="68" s="1"/>
  <c r="P213" i="68"/>
  <c r="T213" i="68" s="1"/>
  <c r="V154" i="68"/>
  <c r="W154" i="68" s="1"/>
  <c r="Y154" i="68" s="1"/>
  <c r="V151" i="68"/>
  <c r="W151" i="68" s="1"/>
  <c r="Y151" i="68" s="1"/>
  <c r="V21" i="68"/>
  <c r="W21" i="68" s="1"/>
  <c r="Y21" i="68" s="1"/>
  <c r="Z21" i="68" s="1"/>
  <c r="AB21" i="68" s="1"/>
  <c r="V48" i="68"/>
  <c r="W48" i="68" s="1"/>
  <c r="Y48" i="68" s="1"/>
  <c r="V126" i="68"/>
  <c r="W126" i="68" s="1"/>
  <c r="Y126" i="68" s="1"/>
  <c r="P322" i="68"/>
  <c r="R322" i="68" s="1"/>
  <c r="P302" i="68"/>
  <c r="T302" i="68" s="1"/>
  <c r="V289" i="68"/>
  <c r="W289" i="68" s="1"/>
  <c r="Y289" i="68" s="1"/>
  <c r="V281" i="68"/>
  <c r="V285" i="68" s="1"/>
  <c r="V252" i="68"/>
  <c r="W252" i="68" s="1"/>
  <c r="Y252" i="68" s="1"/>
  <c r="P248" i="68"/>
  <c r="R248" i="68" s="1"/>
  <c r="V241" i="68"/>
  <c r="W241" i="68" s="1"/>
  <c r="Y241" i="68" s="1"/>
  <c r="P238" i="68"/>
  <c r="R238" i="68" s="1"/>
  <c r="V176" i="68"/>
  <c r="W176" i="68" s="1"/>
  <c r="Y176" i="68" s="1"/>
  <c r="V161" i="68"/>
  <c r="W161" i="68" s="1"/>
  <c r="Y161" i="68" s="1"/>
  <c r="P141" i="68"/>
  <c r="R141" i="68" s="1"/>
  <c r="P118" i="68"/>
  <c r="R118" i="68" s="1"/>
  <c r="V50" i="68"/>
  <c r="W50" i="68" s="1"/>
  <c r="Y50" i="68" s="1"/>
  <c r="V293" i="68"/>
  <c r="W293" i="68" s="1"/>
  <c r="Y293" i="68" s="1"/>
  <c r="V258" i="68"/>
  <c r="W258" i="68" s="1"/>
  <c r="Y258" i="68" s="1"/>
  <c r="V255" i="68"/>
  <c r="W255" i="68" s="1"/>
  <c r="Y255" i="68" s="1"/>
  <c r="P152" i="68"/>
  <c r="R152" i="68" s="1"/>
  <c r="V134" i="68"/>
  <c r="W134" i="68" s="1"/>
  <c r="Y134" i="68" s="1"/>
  <c r="P104" i="68"/>
  <c r="T104" i="68" s="1"/>
  <c r="N36" i="68"/>
  <c r="P46" i="68"/>
  <c r="R46" i="68" s="1"/>
  <c r="T46" i="68" s="1"/>
  <c r="N317" i="68"/>
  <c r="V344" i="68"/>
  <c r="W344" i="68" s="1"/>
  <c r="Y344" i="68" s="1"/>
  <c r="V343" i="68"/>
  <c r="W343" i="68" s="1"/>
  <c r="Y343" i="68" s="1"/>
  <c r="V321" i="68"/>
  <c r="W321" i="68" s="1"/>
  <c r="Y321" i="68" s="1"/>
  <c r="P245" i="68"/>
  <c r="T245" i="68" s="1"/>
  <c r="P244" i="68"/>
  <c r="T244" i="68" s="1"/>
  <c r="V175" i="68"/>
  <c r="W175" i="68" s="1"/>
  <c r="Y175" i="68" s="1"/>
  <c r="V173" i="68"/>
  <c r="W173" i="68" s="1"/>
  <c r="Y173" i="68" s="1"/>
  <c r="P93" i="68"/>
  <c r="T93" i="68" s="1"/>
  <c r="V92" i="68"/>
  <c r="W92" i="68" s="1"/>
  <c r="Y92" i="68" s="1"/>
  <c r="P78" i="68"/>
  <c r="T78" i="68" s="1"/>
  <c r="P332" i="68"/>
  <c r="P224" i="68"/>
  <c r="T224" i="68" s="1"/>
  <c r="P122" i="68"/>
  <c r="R122" i="68" s="1"/>
  <c r="P218" i="68"/>
  <c r="T218" i="68" s="1"/>
  <c r="V167" i="68"/>
  <c r="W167" i="68" s="1"/>
  <c r="Y167" i="68" s="1"/>
  <c r="P254" i="68"/>
  <c r="T254" i="68" s="1"/>
  <c r="P140" i="68"/>
  <c r="T140" i="68" s="1"/>
  <c r="V169" i="68"/>
  <c r="W169" i="68" s="1"/>
  <c r="Y169" i="68" s="1"/>
  <c r="P296" i="68"/>
  <c r="T296" i="68" s="1"/>
  <c r="P253" i="68"/>
  <c r="R253" i="68" s="1"/>
  <c r="V150" i="68"/>
  <c r="W150" i="68" s="1"/>
  <c r="Y150" i="68" s="1"/>
  <c r="P309" i="68"/>
  <c r="R309" i="68" s="1"/>
  <c r="O201" i="68"/>
  <c r="P201" i="68" s="1"/>
  <c r="P16" i="68"/>
  <c r="R16" i="68" s="1"/>
  <c r="T16" i="68" s="1"/>
  <c r="V328" i="68"/>
  <c r="W328" i="68" s="1"/>
  <c r="Y328" i="68" s="1"/>
  <c r="P298" i="68"/>
  <c r="R298" i="68" s="1"/>
  <c r="P99" i="68"/>
  <c r="T99" i="68" s="1"/>
  <c r="P345" i="68"/>
  <c r="T345" i="68" s="1"/>
  <c r="P180" i="68"/>
  <c r="R180" i="68" s="1"/>
  <c r="P181" i="68"/>
  <c r="T181" i="68" s="1"/>
  <c r="P344" i="68"/>
  <c r="R344" i="68" s="1"/>
  <c r="V140" i="68"/>
  <c r="W140" i="68" s="1"/>
  <c r="Y140" i="68" s="1"/>
  <c r="P137" i="68"/>
  <c r="R137" i="68" s="1"/>
  <c r="V121" i="68"/>
  <c r="W121" i="68" s="1"/>
  <c r="Y121" i="68" s="1"/>
  <c r="V118" i="68"/>
  <c r="W118" i="68" s="1"/>
  <c r="Y118" i="68" s="1"/>
  <c r="P103" i="68"/>
  <c r="T103" i="68" s="1"/>
  <c r="P340" i="68"/>
  <c r="P177" i="68"/>
  <c r="T177" i="68" s="1"/>
  <c r="V174" i="68"/>
  <c r="W174" i="68" s="1"/>
  <c r="Y174" i="68" s="1"/>
  <c r="P157" i="68"/>
  <c r="T157" i="68" s="1"/>
  <c r="P154" i="68"/>
  <c r="R154" i="68" s="1"/>
  <c r="V152" i="68"/>
  <c r="W152" i="68" s="1"/>
  <c r="Y152" i="68" s="1"/>
  <c r="V148" i="68"/>
  <c r="W148" i="68" s="1"/>
  <c r="Y148" i="68" s="1"/>
  <c r="P124" i="68"/>
  <c r="T124" i="68" s="1"/>
  <c r="V89" i="68"/>
  <c r="W89" i="68" s="1"/>
  <c r="Y89" i="68" s="1"/>
  <c r="P315" i="68"/>
  <c r="R315" i="68" s="1"/>
  <c r="R307" i="68"/>
  <c r="V244" i="68"/>
  <c r="W244" i="68" s="1"/>
  <c r="Y244" i="68" s="1"/>
  <c r="P211" i="68"/>
  <c r="R211" i="68" s="1"/>
  <c r="V211" i="68" s="1"/>
  <c r="W211" i="68" s="1"/>
  <c r="Y211" i="68" s="1"/>
  <c r="P163" i="68"/>
  <c r="R163" i="68" s="1"/>
  <c r="P162" i="68"/>
  <c r="R162" i="68" s="1"/>
  <c r="P160" i="68"/>
  <c r="T160" i="68" s="1"/>
  <c r="V132" i="68"/>
  <c r="W132" i="68" s="1"/>
  <c r="Y132" i="68" s="1"/>
  <c r="P129" i="68"/>
  <c r="T129" i="68" s="1"/>
  <c r="V128" i="68"/>
  <c r="W128" i="68" s="1"/>
  <c r="Y128" i="68" s="1"/>
  <c r="V125" i="68"/>
  <c r="W125" i="68" s="1"/>
  <c r="Y125" i="68" s="1"/>
  <c r="P90" i="68"/>
  <c r="T90" i="68" s="1"/>
  <c r="P76" i="68"/>
  <c r="T76" i="68" s="1"/>
  <c r="P75" i="68"/>
  <c r="R75" i="68" s="1"/>
  <c r="V74" i="68"/>
  <c r="W74" i="68" s="1"/>
  <c r="Y74" i="68" s="1"/>
  <c r="P72" i="68"/>
  <c r="R72" i="68" s="1"/>
  <c r="P329" i="68"/>
  <c r="P18" i="68"/>
  <c r="R18" i="68" s="1"/>
  <c r="T18" i="68" s="1"/>
  <c r="V268" i="68"/>
  <c r="W268" i="68" s="1"/>
  <c r="Y268" i="68" s="1"/>
  <c r="V261" i="68"/>
  <c r="W261" i="68" s="1"/>
  <c r="Y261" i="68" s="1"/>
  <c r="V116" i="68"/>
  <c r="W116" i="68" s="1"/>
  <c r="Y116" i="68" s="1"/>
  <c r="P115" i="68"/>
  <c r="T115" i="68" s="1"/>
  <c r="P82" i="68"/>
  <c r="T82" i="68" s="1"/>
  <c r="P27" i="68"/>
  <c r="R27" i="68" s="1"/>
  <c r="P26" i="68"/>
  <c r="T26" i="68" s="1"/>
  <c r="P49" i="68"/>
  <c r="R49" i="68" s="1"/>
  <c r="T49" i="68" s="1"/>
  <c r="P260" i="68"/>
  <c r="T260" i="68" s="1"/>
  <c r="P45" i="68"/>
  <c r="R45" i="68" s="1"/>
  <c r="T45" i="68" s="1"/>
  <c r="P342" i="68"/>
  <c r="T342" i="68" s="1"/>
  <c r="V296" i="68"/>
  <c r="W296" i="68" s="1"/>
  <c r="Y296" i="68" s="1"/>
  <c r="P293" i="68"/>
  <c r="T293" i="68" s="1"/>
  <c r="P258" i="68"/>
  <c r="T258" i="68" s="1"/>
  <c r="V141" i="68"/>
  <c r="W141" i="68" s="1"/>
  <c r="Y141" i="68" s="1"/>
  <c r="V139" i="68"/>
  <c r="W139" i="68" s="1"/>
  <c r="Y139" i="68" s="1"/>
  <c r="P136" i="68"/>
  <c r="T136" i="68" s="1"/>
  <c r="P119" i="68"/>
  <c r="T119" i="68" s="1"/>
  <c r="P341" i="68"/>
  <c r="T341" i="68" s="1"/>
  <c r="P321" i="68"/>
  <c r="R321" i="68" s="1"/>
  <c r="V320" i="68"/>
  <c r="W320" i="68" s="1"/>
  <c r="Y320" i="68" s="1"/>
  <c r="P240" i="68"/>
  <c r="T240" i="68" s="1"/>
  <c r="V159" i="68"/>
  <c r="W159" i="68" s="1"/>
  <c r="Y159" i="68" s="1"/>
  <c r="P158" i="68"/>
  <c r="R158" i="68" s="1"/>
  <c r="V155" i="68"/>
  <c r="W155" i="68" s="1"/>
  <c r="Y155" i="68" s="1"/>
  <c r="P149" i="68"/>
  <c r="T149" i="68" s="1"/>
  <c r="V135" i="68"/>
  <c r="W135" i="68" s="1"/>
  <c r="Y135" i="68" s="1"/>
  <c r="V123" i="68"/>
  <c r="W123" i="68" s="1"/>
  <c r="Y123" i="68" s="1"/>
  <c r="P88" i="68"/>
  <c r="T88" i="68" s="1"/>
  <c r="V308" i="68"/>
  <c r="W308" i="68" s="1"/>
  <c r="Y308" i="68" s="1"/>
  <c r="V213" i="68"/>
  <c r="W213" i="68" s="1"/>
  <c r="Y213" i="68" s="1"/>
  <c r="V337" i="68"/>
  <c r="P343" i="68"/>
  <c r="T343" i="68" s="1"/>
  <c r="P275" i="68"/>
  <c r="T275" i="68" s="1"/>
  <c r="P274" i="68"/>
  <c r="P231" i="68"/>
  <c r="P225" i="68"/>
  <c r="T225" i="68" s="1"/>
  <c r="P77" i="68"/>
  <c r="T77" i="68" s="1"/>
  <c r="P328" i="68"/>
  <c r="P51" i="68"/>
  <c r="R51" i="68" s="1"/>
  <c r="T51" i="68" s="1"/>
  <c r="V260" i="68"/>
  <c r="W260" i="68" s="1"/>
  <c r="Y260" i="68" s="1"/>
  <c r="P174" i="68"/>
  <c r="R174" i="68" s="1"/>
  <c r="V177" i="68"/>
  <c r="W177" i="68" s="1"/>
  <c r="Y177" i="68" s="1"/>
  <c r="P139" i="68"/>
  <c r="T139" i="68" s="1"/>
  <c r="V158" i="68"/>
  <c r="W158" i="68" s="1"/>
  <c r="Y158" i="68" s="1"/>
  <c r="P89" i="68"/>
  <c r="T89" i="68" s="1"/>
  <c r="P123" i="68"/>
  <c r="R123" i="68" s="1"/>
  <c r="V163" i="68"/>
  <c r="W163" i="68" s="1"/>
  <c r="Y163" i="68" s="1"/>
  <c r="P135" i="68"/>
  <c r="R135" i="68" s="1"/>
  <c r="V342" i="68"/>
  <c r="W342" i="68" s="1"/>
  <c r="Y342" i="68" s="1"/>
  <c r="V88" i="68"/>
  <c r="W88" i="68" s="1"/>
  <c r="Y88" i="68" s="1"/>
  <c r="P155" i="68"/>
  <c r="R155" i="68" s="1"/>
  <c r="V27" i="68"/>
  <c r="W27" i="68" s="1"/>
  <c r="Y27" i="68" s="1"/>
  <c r="V333" i="68"/>
  <c r="W333" i="68" s="1"/>
  <c r="Y333" i="68" s="1"/>
  <c r="P330" i="68"/>
  <c r="V107" i="68"/>
  <c r="W107" i="68" s="1"/>
  <c r="Y107" i="68" s="1"/>
  <c r="V104" i="68"/>
  <c r="W104" i="68" s="1"/>
  <c r="Y104" i="68" s="1"/>
  <c r="V44" i="68"/>
  <c r="P301" i="68"/>
  <c r="R301" i="68" s="1"/>
  <c r="V301" i="68" s="1"/>
  <c r="W301" i="68" s="1"/>
  <c r="Y301" i="68" s="1"/>
  <c r="V329" i="68"/>
  <c r="V222" i="68"/>
  <c r="W222" i="68" s="1"/>
  <c r="Y222" i="68" s="1"/>
  <c r="P222" i="68"/>
  <c r="R222" i="68" s="1"/>
  <c r="V220" i="68"/>
  <c r="W220" i="68" s="1"/>
  <c r="Y220" i="68" s="1"/>
  <c r="P219" i="68"/>
  <c r="T219" i="68" s="1"/>
  <c r="P100" i="68"/>
  <c r="T100" i="68" s="1"/>
  <c r="P96" i="68"/>
  <c r="R96" i="68" s="1"/>
  <c r="V80" i="68"/>
  <c r="W80" i="68" s="1"/>
  <c r="Y80" i="68" s="1"/>
  <c r="C18" i="2"/>
  <c r="AE84" i="31" s="1"/>
  <c r="C79" i="2"/>
  <c r="F79" i="2" s="1"/>
  <c r="J79" i="2" s="1"/>
  <c r="D185" i="7"/>
  <c r="D142" i="7"/>
  <c r="D186" i="7"/>
  <c r="C58" i="2"/>
  <c r="F58" i="2" s="1"/>
  <c r="C86" i="2"/>
  <c r="E192" i="7" s="1"/>
  <c r="D179" i="7"/>
  <c r="F33" i="33"/>
  <c r="F37" i="33" s="1"/>
  <c r="Q89" i="37"/>
  <c r="H24" i="35"/>
  <c r="H27" i="35" s="1"/>
  <c r="H38" i="9" s="1"/>
  <c r="H12" i="69" s="1"/>
  <c r="I24" i="35"/>
  <c r="I27" i="35" s="1"/>
  <c r="H39" i="9" s="1"/>
  <c r="H13" i="69" s="1"/>
  <c r="I13" i="69" s="1"/>
  <c r="V315" i="68"/>
  <c r="W315" i="68" s="1"/>
  <c r="Y315" i="68" s="1"/>
  <c r="F25" i="33"/>
  <c r="C34" i="40"/>
  <c r="D34" i="40" s="1"/>
  <c r="L56" i="3"/>
  <c r="N37" i="32"/>
  <c r="M37" i="32"/>
  <c r="C32" i="27"/>
  <c r="C11" i="27"/>
  <c r="E28" i="28"/>
  <c r="J24" i="28"/>
  <c r="E27" i="6"/>
  <c r="J29" i="6"/>
  <c r="W15" i="45"/>
  <c r="C27" i="6"/>
  <c r="AB91" i="31"/>
  <c r="L25" i="14"/>
  <c r="M25" i="14" s="1"/>
  <c r="AA91" i="31"/>
  <c r="L47" i="14"/>
  <c r="L67" i="14"/>
  <c r="L62" i="14"/>
  <c r="L31" i="14"/>
  <c r="M31" i="14" s="1"/>
  <c r="L22" i="14"/>
  <c r="M22" i="14" s="1"/>
  <c r="L16" i="14"/>
  <c r="M16" i="14" s="1"/>
  <c r="L15" i="14"/>
  <c r="M15" i="14" s="1"/>
  <c r="L28" i="14"/>
  <c r="M28" i="14" s="1"/>
  <c r="L27" i="14"/>
  <c r="M27" i="14" s="1"/>
  <c r="O24" i="31"/>
  <c r="Q24" i="31" s="1"/>
  <c r="Q99" i="31"/>
  <c r="W64" i="31"/>
  <c r="AB64" i="31" s="1"/>
  <c r="AA64" i="31"/>
  <c r="C62" i="16" s="1"/>
  <c r="K62" i="16" s="1"/>
  <c r="E56" i="31"/>
  <c r="J56" i="31" s="1"/>
  <c r="I56" i="31"/>
  <c r="C56" i="14" s="1"/>
  <c r="P56" i="14" s="1"/>
  <c r="L24" i="31"/>
  <c r="C24" i="31"/>
  <c r="E99" i="31"/>
  <c r="W20" i="31"/>
  <c r="R54" i="31"/>
  <c r="C52" i="15" s="1"/>
  <c r="J52" i="15" s="1"/>
  <c r="E25" i="31"/>
  <c r="R63" i="31"/>
  <c r="C61" i="15" s="1"/>
  <c r="E61" i="15" s="1"/>
  <c r="R61" i="31"/>
  <c r="C59" i="15" s="1"/>
  <c r="K59" i="15" s="1"/>
  <c r="U24" i="31"/>
  <c r="R10" i="47"/>
  <c r="R31" i="47"/>
  <c r="R49" i="31"/>
  <c r="C47" i="15" s="1"/>
  <c r="J47" i="15" s="1"/>
  <c r="L34" i="14"/>
  <c r="L41" i="14"/>
  <c r="L40" i="14"/>
  <c r="L39" i="14"/>
  <c r="I31" i="31"/>
  <c r="C31" i="14" s="1"/>
  <c r="E31" i="14" s="1"/>
  <c r="R67" i="31"/>
  <c r="C64" i="15" s="1"/>
  <c r="E64" i="15" s="1"/>
  <c r="AA36" i="31"/>
  <c r="C34" i="16" s="1"/>
  <c r="H34" i="16" s="1"/>
  <c r="L48" i="14"/>
  <c r="L55" i="14"/>
  <c r="L43" i="14"/>
  <c r="L37" i="14"/>
  <c r="I57" i="31"/>
  <c r="C57" i="14" s="1"/>
  <c r="E57" i="14" s="1"/>
  <c r="L18" i="14"/>
  <c r="M18" i="14" s="1"/>
  <c r="L54" i="14"/>
  <c r="L57" i="14"/>
  <c r="AA42" i="31"/>
  <c r="C40" i="16" s="1"/>
  <c r="E40" i="16" s="1"/>
  <c r="AA92" i="31"/>
  <c r="R45" i="31"/>
  <c r="C43" i="15" s="1"/>
  <c r="E43" i="15" s="1"/>
  <c r="X12" i="47"/>
  <c r="U14" i="31" s="1"/>
  <c r="R47" i="47"/>
  <c r="V104" i="47"/>
  <c r="X92" i="47" s="1"/>
  <c r="L27" i="31" s="1"/>
  <c r="R53" i="31"/>
  <c r="C51" i="15" s="1"/>
  <c r="R91" i="31"/>
  <c r="R48" i="47"/>
  <c r="X24" i="47"/>
  <c r="U18" i="31" s="1"/>
  <c r="X20" i="47"/>
  <c r="L17" i="31" s="1"/>
  <c r="Q60" i="31"/>
  <c r="R37" i="47"/>
  <c r="R43" i="31"/>
  <c r="C41" i="15" s="1"/>
  <c r="E41" i="15" s="1"/>
  <c r="R56" i="31"/>
  <c r="C54" i="15" s="1"/>
  <c r="E54" i="15" s="1"/>
  <c r="Q109" i="47"/>
  <c r="I49" i="31"/>
  <c r="C49" i="14" s="1"/>
  <c r="P49" i="14" s="1"/>
  <c r="R27" i="47"/>
  <c r="R42" i="31"/>
  <c r="C40" i="15" s="1"/>
  <c r="J40" i="15" s="1"/>
  <c r="W110" i="47"/>
  <c r="X23" i="47"/>
  <c r="L18" i="31" s="1"/>
  <c r="R18" i="31" s="1"/>
  <c r="C19" i="15" s="1"/>
  <c r="E19" i="15" s="1"/>
  <c r="R38" i="47"/>
  <c r="AC25" i="47"/>
  <c r="AD25" i="47" s="1"/>
  <c r="F19" i="31" s="1"/>
  <c r="H19" i="31" s="1"/>
  <c r="W95" i="47"/>
  <c r="W111" i="47"/>
  <c r="Y93" i="47" s="1"/>
  <c r="AD93" i="47"/>
  <c r="X27" i="31" s="1"/>
  <c r="Z27" i="31" s="1"/>
  <c r="R46" i="47"/>
  <c r="R39" i="47"/>
  <c r="X21" i="47"/>
  <c r="U17" i="31" s="1"/>
  <c r="R11" i="31"/>
  <c r="C12" i="15" s="1"/>
  <c r="X93" i="47"/>
  <c r="U27" i="31" s="1"/>
  <c r="Q117" i="47"/>
  <c r="R36" i="47"/>
  <c r="Q95" i="47"/>
  <c r="Q22" i="47"/>
  <c r="R22" i="47" s="1"/>
  <c r="Q85" i="47"/>
  <c r="R40" i="47" s="1"/>
  <c r="Q90" i="31"/>
  <c r="Z49" i="31"/>
  <c r="AA49" i="31"/>
  <c r="C47" i="16" s="1"/>
  <c r="Q23" i="47"/>
  <c r="R23" i="47" s="1"/>
  <c r="Z29" i="31"/>
  <c r="AA29" i="31"/>
  <c r="C27" i="16" s="1"/>
  <c r="E27" i="16" s="1"/>
  <c r="Q34" i="47"/>
  <c r="R34" i="47" s="1"/>
  <c r="Q25" i="47"/>
  <c r="R25" i="47" s="1"/>
  <c r="AA53" i="31"/>
  <c r="C51" i="16" s="1"/>
  <c r="K51" i="16" s="1"/>
  <c r="Z53" i="31"/>
  <c r="Z92" i="31"/>
  <c r="AA68" i="31"/>
  <c r="C65" i="16" s="1"/>
  <c r="K65" i="16" s="1"/>
  <c r="AE93" i="47"/>
  <c r="R15" i="47"/>
  <c r="Q56" i="31"/>
  <c r="Q94" i="47"/>
  <c r="Q26" i="47"/>
  <c r="R26" i="47" s="1"/>
  <c r="R57" i="31"/>
  <c r="C55" i="15" s="1"/>
  <c r="K55" i="15" s="1"/>
  <c r="R14" i="47"/>
  <c r="Q17" i="47"/>
  <c r="R17" i="47" s="1"/>
  <c r="Q96" i="47"/>
  <c r="AA56" i="31"/>
  <c r="C54" i="16" s="1"/>
  <c r="K54" i="16" s="1"/>
  <c r="AD33" i="47"/>
  <c r="X21" i="31" s="1"/>
  <c r="AA21" i="31" s="1"/>
  <c r="R32" i="47"/>
  <c r="Q61" i="31"/>
  <c r="Q43" i="31"/>
  <c r="Q46" i="30"/>
  <c r="M51" i="30"/>
  <c r="Q42" i="30"/>
  <c r="L51" i="30"/>
  <c r="M52" i="46"/>
  <c r="K51" i="24" s="1"/>
  <c r="Q41" i="30"/>
  <c r="P51" i="30"/>
  <c r="Q48" i="46"/>
  <c r="N50" i="46" s="1"/>
  <c r="Q38" i="30"/>
  <c r="Q23" i="30"/>
  <c r="Q21" i="30"/>
  <c r="Q20" i="30"/>
  <c r="Q19" i="30"/>
  <c r="Q18" i="30"/>
  <c r="P28" i="30"/>
  <c r="Q17" i="30"/>
  <c r="N28" i="30"/>
  <c r="H46" i="30"/>
  <c r="H45" i="30"/>
  <c r="D51" i="30"/>
  <c r="H42" i="30"/>
  <c r="H41" i="30"/>
  <c r="H39" i="30"/>
  <c r="C27" i="36"/>
  <c r="E32" i="36" s="1"/>
  <c r="H48" i="46"/>
  <c r="D50" i="46" s="1"/>
  <c r="C51" i="30"/>
  <c r="H23" i="30"/>
  <c r="H21" i="30"/>
  <c r="H20" i="30"/>
  <c r="F28" i="30"/>
  <c r="H19" i="30"/>
  <c r="H18" i="30"/>
  <c r="D28" i="30"/>
  <c r="H17" i="30"/>
  <c r="Q44" i="31"/>
  <c r="R44" i="31"/>
  <c r="C42" i="15" s="1"/>
  <c r="E42" i="15" s="1"/>
  <c r="AA67" i="31"/>
  <c r="C64" i="16" s="1"/>
  <c r="H64" i="16" s="1"/>
  <c r="Z67" i="31"/>
  <c r="I67" i="31"/>
  <c r="C67" i="14" s="1"/>
  <c r="H67" i="31"/>
  <c r="AA44" i="31"/>
  <c r="C42" i="16" s="1"/>
  <c r="J91" i="31"/>
  <c r="I30" i="31"/>
  <c r="C30" i="14" s="1"/>
  <c r="P30" i="14" s="1"/>
  <c r="AA47" i="31"/>
  <c r="C45" i="16" s="1"/>
  <c r="E45" i="16" s="1"/>
  <c r="O73" i="31"/>
  <c r="Q73" i="31" s="1"/>
  <c r="AA31" i="31"/>
  <c r="C29" i="16" s="1"/>
  <c r="E29" i="16" s="1"/>
  <c r="AA57" i="31"/>
  <c r="C55" i="16" s="1"/>
  <c r="H55" i="16" s="1"/>
  <c r="H31" i="31"/>
  <c r="R64" i="31"/>
  <c r="AD36" i="47"/>
  <c r="X22" i="31" s="1"/>
  <c r="Z22" i="31" s="1"/>
  <c r="R13" i="31"/>
  <c r="C14" i="15" s="1"/>
  <c r="AA13" i="31"/>
  <c r="Q11" i="31"/>
  <c r="AD35" i="47"/>
  <c r="O22" i="31" s="1"/>
  <c r="Q22" i="31" s="1"/>
  <c r="AC19" i="47"/>
  <c r="AD19" i="47" s="1"/>
  <c r="F17" i="31" s="1"/>
  <c r="H17" i="31" s="1"/>
  <c r="AC17" i="47"/>
  <c r="AD17" i="47" s="1"/>
  <c r="O16" i="31" s="1"/>
  <c r="Q16" i="31" s="1"/>
  <c r="W12" i="31"/>
  <c r="AB12" i="31" s="1"/>
  <c r="AA12" i="31"/>
  <c r="N10" i="31"/>
  <c r="S10" i="31" s="1"/>
  <c r="R10" i="31"/>
  <c r="AC28" i="47"/>
  <c r="AD28" i="47" s="1"/>
  <c r="F20" i="31" s="1"/>
  <c r="AC16" i="47"/>
  <c r="AD16" i="47" s="1"/>
  <c r="F16" i="31" s="1"/>
  <c r="W10" i="31"/>
  <c r="AB10" i="31" s="1"/>
  <c r="AA10" i="31"/>
  <c r="C11" i="16" s="1"/>
  <c r="E21" i="31"/>
  <c r="C23" i="31"/>
  <c r="H42" i="31"/>
  <c r="I42" i="31"/>
  <c r="C42" i="14" s="1"/>
  <c r="I64" i="31"/>
  <c r="C64" i="14" s="1"/>
  <c r="P64" i="14" s="1"/>
  <c r="AA61" i="31"/>
  <c r="C59" i="16" s="1"/>
  <c r="H59" i="16" s="1"/>
  <c r="I91" i="31"/>
  <c r="N46" i="31"/>
  <c r="S46" i="31" s="1"/>
  <c r="R46" i="31"/>
  <c r="E18" i="31"/>
  <c r="J18" i="31" s="1"/>
  <c r="I18" i="31"/>
  <c r="C19" i="14" s="1"/>
  <c r="R31" i="31"/>
  <c r="W68" i="31"/>
  <c r="AB68" i="31" s="1"/>
  <c r="N66" i="31"/>
  <c r="S66" i="31" s="1"/>
  <c r="R66" i="31"/>
  <c r="W57" i="31"/>
  <c r="AB57" i="31" s="1"/>
  <c r="R29" i="31"/>
  <c r="Q29" i="31"/>
  <c r="L23" i="31"/>
  <c r="K24" i="37" s="1"/>
  <c r="V89" i="37"/>
  <c r="X89" i="37" s="1"/>
  <c r="U89" i="37"/>
  <c r="Q89" i="31"/>
  <c r="R24" i="47"/>
  <c r="AA23" i="31"/>
  <c r="C22" i="16" s="1"/>
  <c r="W23" i="31"/>
  <c r="AB23" i="31" s="1"/>
  <c r="E46" i="31"/>
  <c r="J46" i="31" s="1"/>
  <c r="I46" i="31"/>
  <c r="C46" i="14" s="1"/>
  <c r="E46" i="14" s="1"/>
  <c r="X11" i="47"/>
  <c r="L14" i="31" s="1"/>
  <c r="K15" i="37" s="1"/>
  <c r="R21" i="31"/>
  <c r="AA66" i="31"/>
  <c r="N90" i="31"/>
  <c r="I11" i="31"/>
  <c r="C12" i="14" s="1"/>
  <c r="P12" i="14" s="1"/>
  <c r="X13" i="47"/>
  <c r="C15" i="31" s="1"/>
  <c r="W42" i="31"/>
  <c r="AB42" i="31" s="1"/>
  <c r="AD10" i="47"/>
  <c r="F14" i="31" s="1"/>
  <c r="I14" i="31" s="1"/>
  <c r="C15" i="14" s="1"/>
  <c r="J15" i="14" s="1"/>
  <c r="AD45" i="47"/>
  <c r="R35" i="47"/>
  <c r="X27" i="47"/>
  <c r="U19" i="31" s="1"/>
  <c r="R30" i="47"/>
  <c r="X16" i="47"/>
  <c r="C16" i="31" s="1"/>
  <c r="R13" i="47"/>
  <c r="R12" i="31"/>
  <c r="C13" i="15" s="1"/>
  <c r="Q91" i="31"/>
  <c r="S91" i="31" s="1"/>
  <c r="Q63" i="31"/>
  <c r="Q53" i="31"/>
  <c r="Q45" i="31"/>
  <c r="I13" i="31"/>
  <c r="C14" i="14" s="1"/>
  <c r="E14" i="14" s="1"/>
  <c r="I60" i="31"/>
  <c r="AA46" i="31"/>
  <c r="C44" i="16" s="1"/>
  <c r="X19" i="47"/>
  <c r="C17" i="31" s="1"/>
  <c r="C18" i="37" s="1"/>
  <c r="R36" i="31"/>
  <c r="I65" i="31"/>
  <c r="C65" i="14" s="1"/>
  <c r="P65" i="14" s="1"/>
  <c r="I54" i="31"/>
  <c r="C54" i="14" s="1"/>
  <c r="P54" i="14" s="1"/>
  <c r="R20" i="47"/>
  <c r="H41" i="31"/>
  <c r="I41" i="31"/>
  <c r="C41" i="14" s="1"/>
  <c r="E41" i="14" s="1"/>
  <c r="I40" i="31"/>
  <c r="C40" i="14" s="1"/>
  <c r="P40" i="14" s="1"/>
  <c r="H40" i="31"/>
  <c r="Q39" i="31"/>
  <c r="R39" i="31"/>
  <c r="C37" i="15" s="1"/>
  <c r="AD254" i="47"/>
  <c r="O34" i="31" s="1"/>
  <c r="Q34" i="31" s="1"/>
  <c r="H89" i="31"/>
  <c r="H94" i="31" s="1"/>
  <c r="F94" i="31"/>
  <c r="AA55" i="31"/>
  <c r="Z55" i="31"/>
  <c r="AA58" i="31"/>
  <c r="C56" i="16" s="1"/>
  <c r="E56" i="16" s="1"/>
  <c r="H68" i="31"/>
  <c r="I68" i="31"/>
  <c r="C68" i="14" s="1"/>
  <c r="E68" i="14" s="1"/>
  <c r="H65" i="31"/>
  <c r="AA62" i="31"/>
  <c r="C60" i="16" s="1"/>
  <c r="I47" i="31"/>
  <c r="C47" i="14" s="1"/>
  <c r="J47" i="14" s="1"/>
  <c r="I45" i="31"/>
  <c r="C45" i="14" s="1"/>
  <c r="H45" i="31"/>
  <c r="Z26" i="31"/>
  <c r="AA26" i="31"/>
  <c r="C24" i="16" s="1"/>
  <c r="AC24" i="47"/>
  <c r="AD24" i="47" s="1"/>
  <c r="X18" i="31" s="1"/>
  <c r="Q21" i="47"/>
  <c r="R21" i="47" s="1"/>
  <c r="AC18" i="47"/>
  <c r="AD18" i="47" s="1"/>
  <c r="X16" i="31" s="1"/>
  <c r="Z16" i="31" s="1"/>
  <c r="I12" i="31"/>
  <c r="C13" i="14" s="1"/>
  <c r="AA11" i="31"/>
  <c r="C12" i="16" s="1"/>
  <c r="E12" i="16" s="1"/>
  <c r="Z11" i="31"/>
  <c r="H11" i="31"/>
  <c r="I10" i="31"/>
  <c r="H23" i="31"/>
  <c r="H25" i="46"/>
  <c r="D27" i="46" s="1"/>
  <c r="R41" i="31"/>
  <c r="C39" i="15" s="1"/>
  <c r="Q41" i="31"/>
  <c r="I39" i="31"/>
  <c r="C39" i="14" s="1"/>
  <c r="P39" i="14" s="1"/>
  <c r="H39" i="31"/>
  <c r="AD262" i="47"/>
  <c r="F37" i="31" s="1"/>
  <c r="H37" i="31" s="1"/>
  <c r="I36" i="31"/>
  <c r="H36" i="31"/>
  <c r="AD255" i="47"/>
  <c r="X34" i="31" s="1"/>
  <c r="Z34" i="31" s="1"/>
  <c r="AD253" i="47"/>
  <c r="F34" i="31" s="1"/>
  <c r="X94" i="31"/>
  <c r="O94" i="31"/>
  <c r="Z59" i="31"/>
  <c r="AA59" i="31"/>
  <c r="C57" i="16" s="1"/>
  <c r="E57" i="16" s="1"/>
  <c r="R59" i="31"/>
  <c r="Q59" i="31"/>
  <c r="H59" i="31"/>
  <c r="I59" i="31"/>
  <c r="C59" i="14" s="1"/>
  <c r="P59" i="14" s="1"/>
  <c r="Q55" i="31"/>
  <c r="R55" i="31"/>
  <c r="H55" i="31"/>
  <c r="I55" i="31"/>
  <c r="C55" i="14" s="1"/>
  <c r="J55" i="14" s="1"/>
  <c r="Q58" i="31"/>
  <c r="R58" i="31"/>
  <c r="Z54" i="31"/>
  <c r="AB54" i="31" s="1"/>
  <c r="AA54" i="31"/>
  <c r="C52" i="16" s="1"/>
  <c r="Q54" i="31"/>
  <c r="H53" i="31"/>
  <c r="I53" i="31"/>
  <c r="H66" i="31"/>
  <c r="I66" i="31"/>
  <c r="C66" i="14" s="1"/>
  <c r="P66" i="14" s="1"/>
  <c r="AA65" i="31"/>
  <c r="C63" i="16" s="1"/>
  <c r="R65" i="31"/>
  <c r="C63" i="15" s="1"/>
  <c r="J63" i="15" s="1"/>
  <c r="Q30" i="31"/>
  <c r="R30" i="31"/>
  <c r="C28" i="15" s="1"/>
  <c r="AA50" i="31"/>
  <c r="C48" i="16" s="1"/>
  <c r="J48" i="16" s="1"/>
  <c r="Z50" i="31"/>
  <c r="H50" i="31"/>
  <c r="I50" i="31"/>
  <c r="C50" i="14" s="1"/>
  <c r="P50" i="14" s="1"/>
  <c r="F72" i="31"/>
  <c r="H72" i="31" s="1"/>
  <c r="F73" i="31"/>
  <c r="H29" i="31"/>
  <c r="I29" i="31"/>
  <c r="C29" i="14" s="1"/>
  <c r="AA63" i="31"/>
  <c r="C61" i="16" s="1"/>
  <c r="Z63" i="31"/>
  <c r="I63" i="31"/>
  <c r="C63" i="14" s="1"/>
  <c r="J63" i="14" s="1"/>
  <c r="H63" i="31"/>
  <c r="R62" i="31"/>
  <c r="Q62" i="31"/>
  <c r="S62" i="31" s="1"/>
  <c r="I61" i="31"/>
  <c r="H61" i="31"/>
  <c r="I43" i="31"/>
  <c r="C43" i="14" s="1"/>
  <c r="P43" i="14" s="1"/>
  <c r="I44" i="31"/>
  <c r="H44" i="31"/>
  <c r="R26" i="31"/>
  <c r="C24" i="15" s="1"/>
  <c r="Q26" i="31"/>
  <c r="Z20" i="31"/>
  <c r="Q18" i="47"/>
  <c r="R18" i="47" s="1"/>
  <c r="AD15" i="47"/>
  <c r="X15" i="31" s="1"/>
  <c r="R12" i="47"/>
  <c r="H13" i="31"/>
  <c r="AD26" i="47"/>
  <c r="O19" i="31" s="1"/>
  <c r="Q18" i="31"/>
  <c r="AD21" i="47"/>
  <c r="X17" i="31" s="1"/>
  <c r="R16" i="47"/>
  <c r="H15" i="31"/>
  <c r="D67" i="5"/>
  <c r="H67" i="5" s="1"/>
  <c r="I67" i="5" s="1"/>
  <c r="C21" i="27"/>
  <c r="C20" i="27"/>
  <c r="C18" i="27"/>
  <c r="C17" i="27"/>
  <c r="C37" i="27"/>
  <c r="O69" i="44"/>
  <c r="P71" i="44" s="1"/>
  <c r="C59" i="27"/>
  <c r="D66" i="27"/>
  <c r="D83" i="25" s="1"/>
  <c r="F23" i="27"/>
  <c r="D67" i="25" s="1"/>
  <c r="C16" i="27"/>
  <c r="D16" i="5"/>
  <c r="H16" i="5" s="1"/>
  <c r="I16" i="5" s="1"/>
  <c r="O51" i="44"/>
  <c r="P53" i="44" s="1"/>
  <c r="D61" i="5"/>
  <c r="H61" i="5" s="1"/>
  <c r="I61" i="5" s="1"/>
  <c r="C15" i="27"/>
  <c r="C35" i="27"/>
  <c r="E44" i="27"/>
  <c r="D75" i="25" s="1"/>
  <c r="C57" i="27"/>
  <c r="D60" i="5"/>
  <c r="H60" i="5" s="1"/>
  <c r="I60" i="5" s="1"/>
  <c r="J23" i="5"/>
  <c r="C14" i="27"/>
  <c r="D14" i="5"/>
  <c r="H14" i="5" s="1"/>
  <c r="I14" i="5" s="1"/>
  <c r="O67" i="44"/>
  <c r="P63" i="44" s="1"/>
  <c r="D44" i="27"/>
  <c r="D74" i="25" s="1"/>
  <c r="O38" i="44"/>
  <c r="C56" i="27"/>
  <c r="C13" i="27"/>
  <c r="O32" i="44"/>
  <c r="P30" i="44" s="1"/>
  <c r="D23" i="27"/>
  <c r="D65" i="25" s="1"/>
  <c r="F23" i="5"/>
  <c r="D13" i="5"/>
  <c r="H13" i="5" s="1"/>
  <c r="I13" i="5" s="1"/>
  <c r="E23" i="5"/>
  <c r="O21" i="44"/>
  <c r="A14" i="5"/>
  <c r="A35" i="27"/>
  <c r="A60" i="5"/>
  <c r="A36" i="5"/>
  <c r="A13" i="5"/>
  <c r="A35" i="5"/>
  <c r="A56" i="27"/>
  <c r="A34" i="27"/>
  <c r="A59" i="27"/>
  <c r="A37" i="27"/>
  <c r="A16" i="27"/>
  <c r="K23" i="5"/>
  <c r="D58" i="5"/>
  <c r="H58" i="5" s="1"/>
  <c r="I58" i="5" s="1"/>
  <c r="E66" i="27"/>
  <c r="D84" i="25" s="1"/>
  <c r="F69" i="5"/>
  <c r="D33" i="5"/>
  <c r="H33" i="5" s="1"/>
  <c r="I33" i="5" s="1"/>
  <c r="E45" i="5"/>
  <c r="O21" i="39"/>
  <c r="O20" i="39"/>
  <c r="O19" i="39"/>
  <c r="O15" i="39"/>
  <c r="O14" i="39"/>
  <c r="P24" i="38"/>
  <c r="O13" i="39"/>
  <c r="O12" i="39"/>
  <c r="G60" i="39"/>
  <c r="K60" i="39"/>
  <c r="G59" i="39"/>
  <c r="G57" i="39"/>
  <c r="K57" i="39"/>
  <c r="K58" i="39"/>
  <c r="G58" i="39"/>
  <c r="K55" i="39"/>
  <c r="D55" i="39"/>
  <c r="D54" i="39"/>
  <c r="D49" i="39"/>
  <c r="G46" i="39"/>
  <c r="D59" i="38"/>
  <c r="J44" i="39"/>
  <c r="J59" i="38"/>
  <c r="G59" i="38"/>
  <c r="D51" i="39"/>
  <c r="G43" i="39"/>
  <c r="D59" i="39"/>
  <c r="J55" i="39"/>
  <c r="G53" i="39"/>
  <c r="J56" i="39"/>
  <c r="K53" i="39"/>
  <c r="D43" i="39"/>
  <c r="J59" i="39"/>
  <c r="J58" i="39"/>
  <c r="G55" i="39"/>
  <c r="G49" i="39"/>
  <c r="D47" i="39"/>
  <c r="K45" i="39"/>
  <c r="O22" i="39"/>
  <c r="J54" i="39"/>
  <c r="J50" i="39"/>
  <c r="G47" i="39"/>
  <c r="D53" i="39"/>
  <c r="G45" i="39"/>
  <c r="J60" i="39"/>
  <c r="J52" i="39"/>
  <c r="J46" i="39"/>
  <c r="D45" i="39"/>
  <c r="D57" i="39"/>
  <c r="D58" i="39"/>
  <c r="K43" i="39"/>
  <c r="J57" i="39"/>
  <c r="J51" i="39"/>
  <c r="K47" i="39"/>
  <c r="B24" i="39"/>
  <c r="K56" i="39"/>
  <c r="J53" i="39"/>
  <c r="G52" i="39"/>
  <c r="D50" i="39"/>
  <c r="L47" i="12"/>
  <c r="I47" i="12"/>
  <c r="P28" i="12"/>
  <c r="P27" i="12"/>
  <c r="Q27" i="12" s="1"/>
  <c r="L32" i="12"/>
  <c r="P32" i="12" s="1"/>
  <c r="Q32" i="12" s="1"/>
  <c r="P92" i="12"/>
  <c r="Q92" i="12" s="1"/>
  <c r="I50" i="12"/>
  <c r="P50" i="12" s="1"/>
  <c r="Q50" i="12" s="1"/>
  <c r="I43" i="12"/>
  <c r="P43" i="12" s="1"/>
  <c r="Q43" i="12" s="1"/>
  <c r="F58" i="3"/>
  <c r="D58" i="12" s="1"/>
  <c r="J58" i="12" s="1"/>
  <c r="L57" i="69" s="1"/>
  <c r="I58" i="3"/>
  <c r="L58" i="3"/>
  <c r="I35" i="3"/>
  <c r="K34" i="69" s="1"/>
  <c r="O34" i="3"/>
  <c r="P34" i="3" s="1"/>
  <c r="O29" i="3"/>
  <c r="P29" i="3" s="1"/>
  <c r="L29" i="8"/>
  <c r="L29" i="3"/>
  <c r="H14" i="21"/>
  <c r="T11" i="2"/>
  <c r="I104" i="2"/>
  <c r="C60" i="2"/>
  <c r="F60" i="2" s="1"/>
  <c r="J60" i="2" s="1"/>
  <c r="C28" i="2"/>
  <c r="F28" i="2" s="1"/>
  <c r="J28" i="2" s="1"/>
  <c r="D172" i="7"/>
  <c r="D188" i="7"/>
  <c r="C66" i="2"/>
  <c r="F66" i="2" s="1"/>
  <c r="D147" i="7"/>
  <c r="C34" i="2"/>
  <c r="F34" i="2" s="1"/>
  <c r="J34" i="2" s="1"/>
  <c r="C27" i="2"/>
  <c r="F27" i="2" s="1"/>
  <c r="J27" i="2" s="1"/>
  <c r="C92" i="2"/>
  <c r="F92" i="2" s="1"/>
  <c r="J92" i="2" s="1"/>
  <c r="D198" i="7"/>
  <c r="C81" i="2"/>
  <c r="F81" i="2" s="1"/>
  <c r="D167" i="7"/>
  <c r="D166" i="7"/>
  <c r="D164" i="7"/>
  <c r="N138" i="7" s="1"/>
  <c r="D124" i="7"/>
  <c r="I37" i="3"/>
  <c r="L80" i="3"/>
  <c r="K79" i="69" s="1"/>
  <c r="F97" i="3"/>
  <c r="D97" i="12" s="1"/>
  <c r="J97" i="12" s="1"/>
  <c r="F80" i="3"/>
  <c r="D80" i="12" s="1"/>
  <c r="L97" i="3"/>
  <c r="K96" i="2" s="1"/>
  <c r="L81" i="3"/>
  <c r="I81" i="3"/>
  <c r="D133" i="7"/>
  <c r="F27" i="3"/>
  <c r="D27" i="12" s="1"/>
  <c r="G27" i="12" s="1"/>
  <c r="D27" i="13" s="1"/>
  <c r="C40" i="2"/>
  <c r="F40" i="2" s="1"/>
  <c r="J40" i="2" s="1"/>
  <c r="L37" i="3"/>
  <c r="C96" i="2"/>
  <c r="F96" i="2" s="1"/>
  <c r="J96" i="2" s="1"/>
  <c r="D202" i="7"/>
  <c r="C52" i="2"/>
  <c r="I33" i="10" s="1"/>
  <c r="C44" i="2"/>
  <c r="F44" i="2" s="1"/>
  <c r="J44" i="2" s="1"/>
  <c r="F35" i="3"/>
  <c r="I29" i="3"/>
  <c r="D134" i="7"/>
  <c r="C91" i="2"/>
  <c r="F91" i="2" s="1"/>
  <c r="J91" i="2" s="1"/>
  <c r="D197" i="7"/>
  <c r="D182" i="7"/>
  <c r="D154" i="7"/>
  <c r="C47" i="2"/>
  <c r="R53" i="38" s="1"/>
  <c r="R55" i="38" s="1"/>
  <c r="C43" i="2"/>
  <c r="F43" i="2" s="1"/>
  <c r="J43" i="2" s="1"/>
  <c r="D149" i="7"/>
  <c r="C41" i="2"/>
  <c r="F41" i="2" s="1"/>
  <c r="D141" i="7"/>
  <c r="D138" i="7"/>
  <c r="C13" i="2"/>
  <c r="F13" i="2" s="1"/>
  <c r="C19" i="2"/>
  <c r="F19" i="2" s="1"/>
  <c r="J19" i="2" s="1"/>
  <c r="N19" i="2" s="1"/>
  <c r="C19" i="21" s="1"/>
  <c r="C19" i="24" s="1"/>
  <c r="G56" i="12"/>
  <c r="D56" i="13" s="1"/>
  <c r="J56" i="12"/>
  <c r="D158" i="7"/>
  <c r="F53" i="3"/>
  <c r="D53" i="12" s="1"/>
  <c r="L27" i="3"/>
  <c r="D120" i="7"/>
  <c r="I53" i="3"/>
  <c r="K52" i="2" s="1"/>
  <c r="C69" i="2"/>
  <c r="F69" i="2" s="1"/>
  <c r="J69" i="2" s="1"/>
  <c r="I34" i="10"/>
  <c r="C65" i="2"/>
  <c r="F65" i="2" s="1"/>
  <c r="C61" i="2"/>
  <c r="F61" i="2" s="1"/>
  <c r="C36" i="2"/>
  <c r="F36" i="2" s="1"/>
  <c r="J36" i="2" s="1"/>
  <c r="D175" i="7"/>
  <c r="D171" i="7"/>
  <c r="C77" i="2"/>
  <c r="F77" i="2" s="1"/>
  <c r="J77" i="2" s="1"/>
  <c r="C48" i="2"/>
  <c r="F48" i="2" s="1"/>
  <c r="J48" i="2" s="1"/>
  <c r="C35" i="2"/>
  <c r="F35" i="2" s="1"/>
  <c r="J35" i="2" s="1"/>
  <c r="C14" i="2"/>
  <c r="F14" i="2" s="1"/>
  <c r="D187" i="7"/>
  <c r="E58" i="69"/>
  <c r="D150" i="7"/>
  <c r="I56" i="3"/>
  <c r="D119" i="7"/>
  <c r="C26" i="2"/>
  <c r="F26" i="2" s="1"/>
  <c r="J26" i="2" s="1"/>
  <c r="C32" i="2"/>
  <c r="F32" i="2" s="1"/>
  <c r="J32" i="2" s="1"/>
  <c r="D161" i="7"/>
  <c r="C82" i="2"/>
  <c r="F82" i="2" s="1"/>
  <c r="J82" i="2" s="1"/>
  <c r="C76" i="2"/>
  <c r="F26" i="34" s="1"/>
  <c r="F28" i="34" s="1"/>
  <c r="H21" i="9" s="1"/>
  <c r="D132" i="7"/>
  <c r="C55" i="2"/>
  <c r="F55" i="2" s="1"/>
  <c r="J55" i="2" s="1"/>
  <c r="D183" i="7"/>
  <c r="O114" i="4"/>
  <c r="P256" i="68"/>
  <c r="V256" i="68"/>
  <c r="W256" i="68" s="1"/>
  <c r="Y256" i="68" s="1"/>
  <c r="V172" i="68"/>
  <c r="W172" i="68" s="1"/>
  <c r="Y172" i="68" s="1"/>
  <c r="P172" i="68"/>
  <c r="P71" i="68"/>
  <c r="V71" i="68"/>
  <c r="W71" i="68" s="1"/>
  <c r="Y71" i="68" s="1"/>
  <c r="V249" i="68"/>
  <c r="W249" i="68" s="1"/>
  <c r="Y249" i="68" s="1"/>
  <c r="P249" i="68"/>
  <c r="R249" i="68" s="1"/>
  <c r="P107" i="68"/>
  <c r="T107" i="68" s="1"/>
  <c r="P92" i="68"/>
  <c r="T92" i="68" s="1"/>
  <c r="P251" i="68"/>
  <c r="T251" i="68" s="1"/>
  <c r="V309" i="68"/>
  <c r="W309" i="68" s="1"/>
  <c r="Y309" i="68" s="1"/>
  <c r="P289" i="68"/>
  <c r="P259" i="68"/>
  <c r="R259" i="68" s="1"/>
  <c r="V250" i="68"/>
  <c r="W250" i="68" s="1"/>
  <c r="Y250" i="68" s="1"/>
  <c r="P250" i="68"/>
  <c r="T250" i="68" s="1"/>
  <c r="V217" i="68"/>
  <c r="W217" i="68" s="1"/>
  <c r="Y217" i="68" s="1"/>
  <c r="V94" i="68"/>
  <c r="W94" i="68" s="1"/>
  <c r="Y94" i="68" s="1"/>
  <c r="P220" i="68"/>
  <c r="P281" i="68"/>
  <c r="P285" i="68" s="1"/>
  <c r="R208" i="68"/>
  <c r="V208" i="68" s="1"/>
  <c r="W208" i="68" s="1"/>
  <c r="Y208" i="68" s="1"/>
  <c r="Z208" i="68" s="1"/>
  <c r="AB208" i="68" s="1"/>
  <c r="V338" i="68"/>
  <c r="P338" i="68"/>
  <c r="P257" i="68"/>
  <c r="V257" i="68"/>
  <c r="W257" i="68" s="1"/>
  <c r="Y257" i="68" s="1"/>
  <c r="R304" i="68"/>
  <c r="V304" i="68" s="1"/>
  <c r="T304" i="68"/>
  <c r="P247" i="68"/>
  <c r="T247" i="68" s="1"/>
  <c r="V247" i="68"/>
  <c r="W247" i="68" s="1"/>
  <c r="Y247" i="68" s="1"/>
  <c r="V219" i="68"/>
  <c r="W219" i="68" s="1"/>
  <c r="Y219" i="68" s="1"/>
  <c r="V334" i="68"/>
  <c r="W334" i="68" s="1"/>
  <c r="Y334" i="68" s="1"/>
  <c r="P331" i="68"/>
  <c r="R331" i="68" s="1"/>
  <c r="V331" i="68"/>
  <c r="P255" i="68"/>
  <c r="V243" i="68"/>
  <c r="W243" i="68" s="1"/>
  <c r="Y243" i="68" s="1"/>
  <c r="P243" i="68"/>
  <c r="T243" i="68" s="1"/>
  <c r="V218" i="68"/>
  <c r="W218" i="68" s="1"/>
  <c r="Y218" i="68" s="1"/>
  <c r="P111" i="68"/>
  <c r="V96" i="68"/>
  <c r="W96" i="68" s="1"/>
  <c r="Y96" i="68" s="1"/>
  <c r="V79" i="68"/>
  <c r="W79" i="68" s="1"/>
  <c r="Y79" i="68" s="1"/>
  <c r="T209" i="68"/>
  <c r="P108" i="68"/>
  <c r="R108" i="68" s="1"/>
  <c r="V93" i="68"/>
  <c r="W93" i="68" s="1"/>
  <c r="Y93" i="68" s="1"/>
  <c r="V78" i="68"/>
  <c r="W78" i="68" s="1"/>
  <c r="Y78" i="68" s="1"/>
  <c r="P336" i="68"/>
  <c r="V332" i="68"/>
  <c r="P110" i="68"/>
  <c r="P95" i="68"/>
  <c r="P80" i="68"/>
  <c r="V248" i="68"/>
  <c r="W248" i="68" s="1"/>
  <c r="Y248" i="68" s="1"/>
  <c r="P239" i="68"/>
  <c r="T239" i="68" s="1"/>
  <c r="P97" i="68"/>
  <c r="V63" i="68"/>
  <c r="W63" i="68" s="1"/>
  <c r="Y63" i="68" s="1"/>
  <c r="P17" i="68"/>
  <c r="R17" i="68" s="1"/>
  <c r="T17" i="68" s="1"/>
  <c r="V15" i="68"/>
  <c r="W15" i="68" s="1"/>
  <c r="Y15" i="68" s="1"/>
  <c r="P23" i="68"/>
  <c r="V180" i="68"/>
  <c r="W180" i="68" s="1"/>
  <c r="Y180" i="68" s="1"/>
  <c r="P83" i="68"/>
  <c r="P113" i="68"/>
  <c r="T113" i="68" s="1"/>
  <c r="V307" i="68"/>
  <c r="W307" i="68" s="1"/>
  <c r="Y307" i="68" s="1"/>
  <c r="Z307" i="68" s="1"/>
  <c r="AB307" i="68" s="1"/>
  <c r="V275" i="68"/>
  <c r="W275" i="68" s="1"/>
  <c r="Y275" i="68" s="1"/>
  <c r="V231" i="68"/>
  <c r="W231" i="68" s="1"/>
  <c r="Y231" i="68" s="1"/>
  <c r="V225" i="68"/>
  <c r="W225" i="68" s="1"/>
  <c r="Y225" i="68" s="1"/>
  <c r="P212" i="68"/>
  <c r="R212" i="68" s="1"/>
  <c r="P117" i="68"/>
  <c r="T117" i="68" s="1"/>
  <c r="V102" i="68"/>
  <c r="W102" i="68" s="1"/>
  <c r="Y102" i="68" s="1"/>
  <c r="P101" i="68"/>
  <c r="R101" i="68" s="1"/>
  <c r="V99" i="68"/>
  <c r="W99" i="68" s="1"/>
  <c r="Y99" i="68" s="1"/>
  <c r="P85" i="68"/>
  <c r="P44" i="68"/>
  <c r="P241" i="68"/>
  <c r="T241" i="68" s="1"/>
  <c r="V245" i="68"/>
  <c r="W245" i="68" s="1"/>
  <c r="Y245" i="68" s="1"/>
  <c r="V138" i="68"/>
  <c r="W138" i="68" s="1"/>
  <c r="Y138" i="68" s="1"/>
  <c r="V136" i="68"/>
  <c r="W136" i="68" s="1"/>
  <c r="Y136" i="68" s="1"/>
  <c r="P246" i="68"/>
  <c r="V240" i="68"/>
  <c r="W240" i="68" s="1"/>
  <c r="Y240" i="68" s="1"/>
  <c r="P215" i="68"/>
  <c r="P252" i="68"/>
  <c r="V209" i="68"/>
  <c r="W209" i="68" s="1"/>
  <c r="Y209" i="68" s="1"/>
  <c r="V157" i="68"/>
  <c r="W157" i="68" s="1"/>
  <c r="Y157" i="68" s="1"/>
  <c r="P148" i="68"/>
  <c r="T148" i="68" s="1"/>
  <c r="P349" i="68"/>
  <c r="R349" i="68" s="1"/>
  <c r="V349" i="68" s="1"/>
  <c r="W349" i="68" s="1"/>
  <c r="Y349" i="68" s="1"/>
  <c r="P306" i="68"/>
  <c r="P179" i="68"/>
  <c r="V179" i="68"/>
  <c r="W179" i="68" s="1"/>
  <c r="Y179" i="68" s="1"/>
  <c r="V178" i="68"/>
  <c r="W178" i="68" s="1"/>
  <c r="Y178" i="68" s="1"/>
  <c r="P178" i="68"/>
  <c r="R178" i="68" s="1"/>
  <c r="P84" i="68"/>
  <c r="V84" i="68"/>
  <c r="W84" i="68" s="1"/>
  <c r="Y84" i="68" s="1"/>
  <c r="P52" i="68"/>
  <c r="P146" i="68"/>
  <c r="V146" i="68"/>
  <c r="W146" i="68" s="1"/>
  <c r="Y146" i="68" s="1"/>
  <c r="P145" i="68"/>
  <c r="V145" i="68"/>
  <c r="W145" i="68" s="1"/>
  <c r="Y145" i="68" s="1"/>
  <c r="P144" i="68"/>
  <c r="V144" i="68"/>
  <c r="W144" i="68" s="1"/>
  <c r="Y144" i="68" s="1"/>
  <c r="P143" i="68"/>
  <c r="V143" i="68"/>
  <c r="W143" i="68" s="1"/>
  <c r="Y143" i="68" s="1"/>
  <c r="P142" i="68"/>
  <c r="V142" i="68"/>
  <c r="W142" i="68" s="1"/>
  <c r="Y142" i="68" s="1"/>
  <c r="V212" i="68"/>
  <c r="W212" i="68" s="1"/>
  <c r="Y212" i="68" s="1"/>
  <c r="V101" i="68"/>
  <c r="W101" i="68" s="1"/>
  <c r="Y101" i="68" s="1"/>
  <c r="V295" i="68"/>
  <c r="W295" i="68" s="1"/>
  <c r="Y295" i="68" s="1"/>
  <c r="P295" i="68"/>
  <c r="P294" i="68"/>
  <c r="V294" i="68"/>
  <c r="W294" i="68" s="1"/>
  <c r="Y294" i="68" s="1"/>
  <c r="P292" i="68"/>
  <c r="V292" i="68"/>
  <c r="W292" i="68" s="1"/>
  <c r="Y292" i="68" s="1"/>
  <c r="P291" i="68"/>
  <c r="V291" i="68"/>
  <c r="W291" i="68" s="1"/>
  <c r="Y291" i="68" s="1"/>
  <c r="P290" i="68"/>
  <c r="V290" i="68"/>
  <c r="W290" i="68" s="1"/>
  <c r="Y290" i="68" s="1"/>
  <c r="P109" i="68"/>
  <c r="V109" i="68"/>
  <c r="W109" i="68" s="1"/>
  <c r="Y109" i="68" s="1"/>
  <c r="P102" i="68"/>
  <c r="T102" i="68" s="1"/>
  <c r="P300" i="68"/>
  <c r="V300" i="68"/>
  <c r="W300" i="68" s="1"/>
  <c r="Y300" i="68" s="1"/>
  <c r="V339" i="68"/>
  <c r="P339" i="68"/>
  <c r="V133" i="68"/>
  <c r="W133" i="68" s="1"/>
  <c r="Y133" i="68" s="1"/>
  <c r="P133" i="68"/>
  <c r="P131" i="68"/>
  <c r="V131" i="68"/>
  <c r="W131" i="68" s="1"/>
  <c r="Y131" i="68" s="1"/>
  <c r="P106" i="68"/>
  <c r="V106" i="68"/>
  <c r="W106" i="68" s="1"/>
  <c r="Y106" i="68" s="1"/>
  <c r="P105" i="68"/>
  <c r="V105" i="68"/>
  <c r="W105" i="68" s="1"/>
  <c r="Y105" i="68" s="1"/>
  <c r="P47" i="68"/>
  <c r="R47" i="68" s="1"/>
  <c r="T47" i="68" s="1"/>
  <c r="P132" i="68"/>
  <c r="V76" i="68"/>
  <c r="W76" i="68" s="1"/>
  <c r="Y76" i="68" s="1"/>
  <c r="V72" i="68"/>
  <c r="W72" i="68" s="1"/>
  <c r="Y72" i="68" s="1"/>
  <c r="P64" i="68"/>
  <c r="T64" i="68" s="1"/>
  <c r="P261" i="68"/>
  <c r="P268" i="68"/>
  <c r="P125" i="68"/>
  <c r="V237" i="68"/>
  <c r="W237" i="68" s="1"/>
  <c r="Y237" i="68" s="1"/>
  <c r="P237" i="68"/>
  <c r="P236" i="68"/>
  <c r="V236" i="68"/>
  <c r="W236" i="68" s="1"/>
  <c r="Y236" i="68" s="1"/>
  <c r="P217" i="68"/>
  <c r="P216" i="68"/>
  <c r="V216" i="68"/>
  <c r="W216" i="68" s="1"/>
  <c r="Y216" i="68" s="1"/>
  <c r="V137" i="68"/>
  <c r="W137" i="68" s="1"/>
  <c r="Y137" i="68" s="1"/>
  <c r="V112" i="68"/>
  <c r="W112" i="68" s="1"/>
  <c r="Y112" i="68" s="1"/>
  <c r="P112" i="68"/>
  <c r="R112" i="68" s="1"/>
  <c r="V95" i="68"/>
  <c r="W95" i="68" s="1"/>
  <c r="Y95" i="68" s="1"/>
  <c r="P94" i="68"/>
  <c r="V81" i="68"/>
  <c r="W81" i="68" s="1"/>
  <c r="Y81" i="68" s="1"/>
  <c r="P81" i="68"/>
  <c r="P15" i="68"/>
  <c r="R15" i="68" s="1"/>
  <c r="T15" i="68" s="1"/>
  <c r="V246" i="68"/>
  <c r="W246" i="68" s="1"/>
  <c r="Y246" i="68" s="1"/>
  <c r="P242" i="68"/>
  <c r="V242" i="68"/>
  <c r="W242" i="68" s="1"/>
  <c r="Y242" i="68" s="1"/>
  <c r="V19" i="68"/>
  <c r="W19" i="68" s="1"/>
  <c r="Y19" i="68" s="1"/>
  <c r="V97" i="68"/>
  <c r="W97" i="68" s="1"/>
  <c r="Y97" i="68" s="1"/>
  <c r="P320" i="68"/>
  <c r="V162" i="68"/>
  <c r="W162" i="68" s="1"/>
  <c r="Y162" i="68" s="1"/>
  <c r="P79" i="68"/>
  <c r="T79" i="68" s="1"/>
  <c r="V330" i="68"/>
  <c r="V253" i="68"/>
  <c r="W253" i="68" s="1"/>
  <c r="Y253" i="68" s="1"/>
  <c r="C85" i="69"/>
  <c r="C85" i="2"/>
  <c r="C74" i="69"/>
  <c r="E74" i="69" s="1"/>
  <c r="I74" i="69" s="1"/>
  <c r="C75" i="3" s="1"/>
  <c r="C74" i="2"/>
  <c r="F74" i="2" s="1"/>
  <c r="J74" i="2" s="1"/>
  <c r="D180" i="7"/>
  <c r="C70" i="69"/>
  <c r="E70" i="69" s="1"/>
  <c r="I70" i="69" s="1"/>
  <c r="C71" i="3" s="1"/>
  <c r="D176" i="7"/>
  <c r="C42" i="69"/>
  <c r="E42" i="69" s="1"/>
  <c r="C42" i="2"/>
  <c r="F42" i="2" s="1"/>
  <c r="D148" i="7"/>
  <c r="C38" i="69"/>
  <c r="E38" i="69" s="1"/>
  <c r="I38" i="69" s="1"/>
  <c r="D144" i="7"/>
  <c r="C38" i="2"/>
  <c r="F38" i="2" s="1"/>
  <c r="J38" i="2" s="1"/>
  <c r="C33" i="69"/>
  <c r="E33" i="69" s="1"/>
  <c r="I33" i="69" s="1"/>
  <c r="C34" i="3" s="1"/>
  <c r="D139" i="7"/>
  <c r="C30" i="69"/>
  <c r="E30" i="69" s="1"/>
  <c r="I30" i="69" s="1"/>
  <c r="C31" i="3" s="1"/>
  <c r="D136" i="7"/>
  <c r="C30" i="2"/>
  <c r="F30" i="2" s="1"/>
  <c r="J30" i="2" s="1"/>
  <c r="D10" i="5"/>
  <c r="C23" i="5"/>
  <c r="E69" i="5"/>
  <c r="D56" i="5"/>
  <c r="C69" i="5"/>
  <c r="I84" i="5" s="1"/>
  <c r="D57" i="5"/>
  <c r="H57" i="5" s="1"/>
  <c r="I57" i="5" s="1"/>
  <c r="I88" i="37"/>
  <c r="M95" i="13"/>
  <c r="N95" i="13" s="1"/>
  <c r="F45" i="5"/>
  <c r="D32" i="5"/>
  <c r="D34" i="5"/>
  <c r="H34" i="5" s="1"/>
  <c r="I34" i="5" s="1"/>
  <c r="C45" i="5"/>
  <c r="I80" i="5" s="1"/>
  <c r="I41" i="13" s="1"/>
  <c r="F41" i="13" s="1"/>
  <c r="M41" i="13" s="1"/>
  <c r="K43" i="3"/>
  <c r="K47" i="3"/>
  <c r="O47" i="3" s="1"/>
  <c r="P47" i="3" s="1"/>
  <c r="K32" i="3"/>
  <c r="O32" i="3" s="1"/>
  <c r="P32" i="3" s="1"/>
  <c r="K50" i="3"/>
  <c r="O50" i="3"/>
  <c r="P50" i="3" s="1"/>
  <c r="O27" i="3"/>
  <c r="P27" i="3" s="1"/>
  <c r="C66" i="8"/>
  <c r="F66" i="27"/>
  <c r="C31" i="27"/>
  <c r="F44" i="27"/>
  <c r="O28" i="30"/>
  <c r="Q15" i="30"/>
  <c r="M28" i="30"/>
  <c r="E58" i="31"/>
  <c r="J58" i="31" s="1"/>
  <c r="I58" i="31"/>
  <c r="H48" i="31"/>
  <c r="I48" i="31"/>
  <c r="Z45" i="31"/>
  <c r="AA45" i="31"/>
  <c r="I26" i="31"/>
  <c r="E26" i="31"/>
  <c r="J26" i="31" s="1"/>
  <c r="J47" i="39"/>
  <c r="I62" i="39"/>
  <c r="J11" i="39"/>
  <c r="H24" i="39"/>
  <c r="H95" i="46"/>
  <c r="C97" i="46" s="1"/>
  <c r="J46" i="46"/>
  <c r="A69" i="46"/>
  <c r="N40" i="31"/>
  <c r="S40" i="31" s="1"/>
  <c r="R40" i="31"/>
  <c r="X51" i="8"/>
  <c r="G53" i="8"/>
  <c r="C99" i="69"/>
  <c r="E99" i="69" s="1"/>
  <c r="C99" i="2"/>
  <c r="F99" i="2" s="1"/>
  <c r="C94" i="69"/>
  <c r="E94" i="69" s="1"/>
  <c r="D200" i="7"/>
  <c r="C94" i="2"/>
  <c r="C90" i="69"/>
  <c r="E90" i="69" s="1"/>
  <c r="I90" i="69" s="1"/>
  <c r="C91" i="3" s="1"/>
  <c r="D196" i="7"/>
  <c r="C90" i="2"/>
  <c r="F90" i="2" s="1"/>
  <c r="J90" i="2" s="1"/>
  <c r="C78" i="69"/>
  <c r="E78" i="69" s="1"/>
  <c r="I78" i="69" s="1"/>
  <c r="C79" i="3" s="1"/>
  <c r="C78" i="2"/>
  <c r="F78" i="2" s="1"/>
  <c r="J78" i="2" s="1"/>
  <c r="C51" i="69"/>
  <c r="E51" i="69" s="1"/>
  <c r="D157" i="7"/>
  <c r="C51" i="2"/>
  <c r="F51" i="2" s="1"/>
  <c r="C46" i="69"/>
  <c r="Q49" i="39"/>
  <c r="C29" i="69"/>
  <c r="E29" i="69" s="1"/>
  <c r="I29" i="69" s="1"/>
  <c r="C29" i="2"/>
  <c r="F29" i="2" s="1"/>
  <c r="J29" i="2" s="1"/>
  <c r="D135" i="7"/>
  <c r="C25" i="69"/>
  <c r="O101" i="4"/>
  <c r="D131" i="7"/>
  <c r="C16" i="69"/>
  <c r="E16" i="69" s="1"/>
  <c r="I16" i="69" s="1"/>
  <c r="C17" i="3" s="1"/>
  <c r="D122" i="7"/>
  <c r="C16" i="2"/>
  <c r="C12" i="69"/>
  <c r="E12" i="69" s="1"/>
  <c r="C12" i="2"/>
  <c r="F12" i="2" s="1"/>
  <c r="G28" i="30"/>
  <c r="H15" i="30"/>
  <c r="E28" i="30"/>
  <c r="R68" i="31"/>
  <c r="N68" i="31"/>
  <c r="S68" i="31" s="1"/>
  <c r="E62" i="31"/>
  <c r="J62" i="31" s="1"/>
  <c r="I62" i="31"/>
  <c r="Z48" i="31"/>
  <c r="AA48" i="31"/>
  <c r="C46" i="16" s="1"/>
  <c r="T20" i="45"/>
  <c r="J38" i="46"/>
  <c r="A61" i="46"/>
  <c r="E46" i="36"/>
  <c r="G46" i="36" s="1"/>
  <c r="G56" i="36" s="1"/>
  <c r="C56" i="36"/>
  <c r="G61" i="36" s="1"/>
  <c r="W41" i="31"/>
  <c r="AB41" i="31" s="1"/>
  <c r="AA41" i="31"/>
  <c r="AA39" i="31"/>
  <c r="Z39" i="31"/>
  <c r="D62" i="5"/>
  <c r="H62" i="5" s="1"/>
  <c r="I62" i="5" s="1"/>
  <c r="I14" i="6"/>
  <c r="J14" i="6" s="1"/>
  <c r="J16" i="6" s="1"/>
  <c r="O48" i="3"/>
  <c r="P48" i="3" s="1"/>
  <c r="C83" i="2"/>
  <c r="F83" i="2" s="1"/>
  <c r="J83" i="2" s="1"/>
  <c r="N78" i="7"/>
  <c r="P78" i="7" s="1"/>
  <c r="F45" i="3"/>
  <c r="M34" i="13"/>
  <c r="N34" i="13" s="1"/>
  <c r="D53" i="8"/>
  <c r="N87" i="7"/>
  <c r="C97" i="69"/>
  <c r="E97" i="69" s="1"/>
  <c r="I97" i="69" s="1"/>
  <c r="C98" i="3" s="1"/>
  <c r="D203" i="7"/>
  <c r="C97" i="2"/>
  <c r="F97" i="2" s="1"/>
  <c r="J97" i="2" s="1"/>
  <c r="C93" i="69"/>
  <c r="E93" i="69" s="1"/>
  <c r="I93" i="69" s="1"/>
  <c r="C94" i="3" s="1"/>
  <c r="C93" i="2"/>
  <c r="F93" i="2" s="1"/>
  <c r="J93" i="2" s="1"/>
  <c r="C88" i="69"/>
  <c r="E88" i="69" s="1"/>
  <c r="I88" i="69" s="1"/>
  <c r="C89" i="3" s="1"/>
  <c r="D194" i="7"/>
  <c r="C68" i="69"/>
  <c r="E68" i="69" s="1"/>
  <c r="I68" i="69" s="1"/>
  <c r="C69" i="3" s="1"/>
  <c r="D174" i="7"/>
  <c r="C54" i="69"/>
  <c r="E54" i="69" s="1"/>
  <c r="I54" i="69" s="1"/>
  <c r="C55" i="3" s="1"/>
  <c r="D160" i="7"/>
  <c r="C49" i="69"/>
  <c r="E49" i="69" s="1"/>
  <c r="I49" i="69" s="1"/>
  <c r="C50" i="3" s="1"/>
  <c r="D155" i="7"/>
  <c r="C45" i="69"/>
  <c r="P49" i="39"/>
  <c r="C45" i="2"/>
  <c r="F29" i="3"/>
  <c r="C15" i="69"/>
  <c r="C15" i="2"/>
  <c r="C11" i="69"/>
  <c r="O20" i="4"/>
  <c r="D117" i="7"/>
  <c r="D221" i="7"/>
  <c r="D11" i="5"/>
  <c r="H11" i="5" s="1"/>
  <c r="I11" i="5" s="1"/>
  <c r="D15" i="5"/>
  <c r="H15" i="5" s="1"/>
  <c r="I15" i="5" s="1"/>
  <c r="J25" i="6"/>
  <c r="C54" i="27"/>
  <c r="Q16" i="30"/>
  <c r="L22" i="15"/>
  <c r="I22" i="15" s="1"/>
  <c r="H22" i="30"/>
  <c r="C28" i="30"/>
  <c r="H16" i="30"/>
  <c r="Q47" i="31"/>
  <c r="R47" i="31"/>
  <c r="J42" i="46"/>
  <c r="A65" i="46"/>
  <c r="W40" i="31"/>
  <c r="AB40" i="31" s="1"/>
  <c r="AA40" i="31"/>
  <c r="C38" i="16" s="1"/>
  <c r="J23" i="6"/>
  <c r="M56" i="12"/>
  <c r="C25" i="2"/>
  <c r="D189" i="7"/>
  <c r="C46" i="2"/>
  <c r="AE82" i="31"/>
  <c r="M39" i="13"/>
  <c r="N39" i="13" s="1"/>
  <c r="D152" i="7"/>
  <c r="D118" i="7"/>
  <c r="C71" i="69"/>
  <c r="E71" i="69" s="1"/>
  <c r="I71" i="69" s="1"/>
  <c r="C72" i="3" s="1"/>
  <c r="D177" i="7"/>
  <c r="C71" i="2"/>
  <c r="F71" i="2" s="1"/>
  <c r="J71" i="2" s="1"/>
  <c r="C67" i="69"/>
  <c r="E67" i="69" s="1"/>
  <c r="I67" i="69" s="1"/>
  <c r="C68" i="3" s="1"/>
  <c r="C67" i="2"/>
  <c r="F67" i="2" s="1"/>
  <c r="J67" i="2" s="1"/>
  <c r="D173" i="7"/>
  <c r="C64" i="69"/>
  <c r="E64" i="69" s="1"/>
  <c r="D170" i="7"/>
  <c r="C53" i="69"/>
  <c r="E53" i="69" s="1"/>
  <c r="D159" i="7"/>
  <c r="C53" i="2"/>
  <c r="F53" i="2" s="1"/>
  <c r="C31" i="69"/>
  <c r="E31" i="69" s="1"/>
  <c r="I31" i="69" s="1"/>
  <c r="C32" i="3" s="1"/>
  <c r="D137" i="7"/>
  <c r="C31" i="2"/>
  <c r="F31" i="2" s="1"/>
  <c r="J31" i="2" s="1"/>
  <c r="C17" i="69"/>
  <c r="E17" i="69" s="1"/>
  <c r="I17" i="69" s="1"/>
  <c r="C18" i="3" s="1"/>
  <c r="C17" i="2"/>
  <c r="F17" i="2" s="1"/>
  <c r="J17" i="2" s="1"/>
  <c r="D123" i="7"/>
  <c r="D36" i="5"/>
  <c r="H36" i="5" s="1"/>
  <c r="I36" i="5" s="1"/>
  <c r="W34" i="31"/>
  <c r="O63" i="14"/>
  <c r="O45" i="14"/>
  <c r="L45" i="14"/>
  <c r="O36" i="14"/>
  <c r="L36" i="14"/>
  <c r="O24" i="14"/>
  <c r="L24" i="14"/>
  <c r="M24" i="14" s="1"/>
  <c r="O17" i="14"/>
  <c r="L17" i="14"/>
  <c r="M17" i="14" s="1"/>
  <c r="O14" i="14"/>
  <c r="L14" i="14"/>
  <c r="M14" i="14" s="1"/>
  <c r="L29" i="15"/>
  <c r="U53" i="8"/>
  <c r="C100" i="69"/>
  <c r="E100" i="69" s="1"/>
  <c r="F33" i="41"/>
  <c r="F35" i="41" s="1"/>
  <c r="H75" i="9" s="1"/>
  <c r="C20" i="3"/>
  <c r="N19" i="69"/>
  <c r="Q20" i="31"/>
  <c r="S20" i="31" s="1"/>
  <c r="R20" i="31"/>
  <c r="N15" i="31"/>
  <c r="H22" i="31"/>
  <c r="I22" i="31"/>
  <c r="E19" i="31"/>
  <c r="C95" i="2"/>
  <c r="F95" i="2" s="1"/>
  <c r="C95" i="69"/>
  <c r="E95" i="69" s="1"/>
  <c r="R49" i="39"/>
  <c r="C47" i="69"/>
  <c r="E47" i="69" s="1"/>
  <c r="I47" i="69" s="1"/>
  <c r="C19" i="3"/>
  <c r="N18" i="69"/>
  <c r="D140" i="7"/>
  <c r="Z43" i="31"/>
  <c r="AA43" i="31"/>
  <c r="O20" i="14"/>
  <c r="L20" i="14"/>
  <c r="M20" i="14" s="1"/>
  <c r="D52" i="39"/>
  <c r="K52" i="39"/>
  <c r="C62" i="39"/>
  <c r="F62" i="39"/>
  <c r="O55" i="44"/>
  <c r="O34" i="44"/>
  <c r="P35" i="44" s="1"/>
  <c r="A15" i="27"/>
  <c r="A36" i="27"/>
  <c r="A58" i="27"/>
  <c r="A32" i="27"/>
  <c r="A54" i="27"/>
  <c r="O15" i="44"/>
  <c r="P13" i="44" s="1"/>
  <c r="Q22" i="30"/>
  <c r="Q48" i="31"/>
  <c r="R48" i="31"/>
  <c r="H62" i="39"/>
  <c r="H77" i="39" s="1"/>
  <c r="E55" i="25"/>
  <c r="L11" i="14"/>
  <c r="M11" i="14" s="1"/>
  <c r="R50" i="31"/>
  <c r="N50" i="31"/>
  <c r="S50" i="31" s="1"/>
  <c r="AA30" i="31"/>
  <c r="E31" i="33"/>
  <c r="E25" i="33"/>
  <c r="J62" i="13" s="1"/>
  <c r="D44" i="39"/>
  <c r="K44" i="39"/>
  <c r="L29" i="14"/>
  <c r="M29" i="14" s="1"/>
  <c r="L26" i="14"/>
  <c r="M26" i="14" s="1"/>
  <c r="L23" i="14"/>
  <c r="M23" i="14" s="1"/>
  <c r="L21" i="14"/>
  <c r="M21" i="14" s="1"/>
  <c r="L19" i="14"/>
  <c r="M19" i="14" s="1"/>
  <c r="O19" i="14"/>
  <c r="L13" i="14"/>
  <c r="M13" i="14" s="1"/>
  <c r="O13" i="14"/>
  <c r="H59" i="37"/>
  <c r="D56" i="39"/>
  <c r="K54" i="39"/>
  <c r="K50" i="39"/>
  <c r="B62" i="39"/>
  <c r="B77" i="39" s="1"/>
  <c r="D15" i="39"/>
  <c r="B30" i="39"/>
  <c r="C24" i="39"/>
  <c r="C30" i="39"/>
  <c r="O11" i="39"/>
  <c r="M24" i="39"/>
  <c r="M30" i="39" s="1"/>
  <c r="W16" i="45"/>
  <c r="F20" i="45"/>
  <c r="G14" i="45" s="1"/>
  <c r="J43" i="46"/>
  <c r="A66" i="46"/>
  <c r="J39" i="46"/>
  <c r="A62" i="46"/>
  <c r="J35" i="46"/>
  <c r="A58" i="46"/>
  <c r="M29" i="46"/>
  <c r="L29" i="46"/>
  <c r="L72" i="14"/>
  <c r="L64" i="14"/>
  <c r="L61" i="14"/>
  <c r="L56" i="14"/>
  <c r="L53" i="14"/>
  <c r="L46" i="14"/>
  <c r="L12" i="14"/>
  <c r="M12" i="14" s="1"/>
  <c r="D46" i="39"/>
  <c r="K46" i="39"/>
  <c r="I24" i="39"/>
  <c r="O49" i="44"/>
  <c r="P45" i="44" s="1"/>
  <c r="O17" i="44"/>
  <c r="H71" i="46"/>
  <c r="J44" i="46"/>
  <c r="A67" i="46"/>
  <c r="J40" i="46"/>
  <c r="A63" i="46"/>
  <c r="J36" i="46"/>
  <c r="A59" i="46"/>
  <c r="P111" i="47"/>
  <c r="Q111" i="47"/>
  <c r="AB98" i="47"/>
  <c r="AD92" i="47" s="1"/>
  <c r="O27" i="31" s="1"/>
  <c r="AC98" i="47"/>
  <c r="P97" i="47"/>
  <c r="R91" i="47" s="1"/>
  <c r="Q97" i="47"/>
  <c r="R31" i="32"/>
  <c r="C31" i="40" s="1"/>
  <c r="D31" i="40" s="1"/>
  <c r="D24" i="38"/>
  <c r="P42" i="38"/>
  <c r="P51" i="38" s="1"/>
  <c r="E62" i="39"/>
  <c r="D60" i="39"/>
  <c r="K48" i="39"/>
  <c r="G48" i="39"/>
  <c r="O18" i="39"/>
  <c r="O17" i="39"/>
  <c r="O16" i="39"/>
  <c r="N24" i="39"/>
  <c r="O73" i="44"/>
  <c r="I16" i="45"/>
  <c r="I15" i="45"/>
  <c r="J45" i="46"/>
  <c r="A68" i="46"/>
  <c r="J41" i="46"/>
  <c r="A64" i="46"/>
  <c r="J37" i="46"/>
  <c r="A60" i="46"/>
  <c r="AD263" i="47"/>
  <c r="O37" i="31" s="1"/>
  <c r="X262" i="47"/>
  <c r="C37" i="31" s="1"/>
  <c r="C38" i="37" s="1"/>
  <c r="F38" i="37" s="1"/>
  <c r="H38" i="37" s="1"/>
  <c r="E34" i="43"/>
  <c r="W17" i="45"/>
  <c r="X17" i="47"/>
  <c r="L16" i="31" s="1"/>
  <c r="K17" i="37" s="1"/>
  <c r="AD14" i="47"/>
  <c r="E44" i="43"/>
  <c r="W18" i="45"/>
  <c r="W14" i="45"/>
  <c r="L52" i="46"/>
  <c r="Q25" i="46"/>
  <c r="AB88" i="47"/>
  <c r="AD91" i="47" s="1"/>
  <c r="F27" i="31" s="1"/>
  <c r="H27" i="31" s="1"/>
  <c r="AC88" i="47"/>
  <c r="V98" i="68"/>
  <c r="W98" i="68" s="1"/>
  <c r="Y98" i="68" s="1"/>
  <c r="P105" i="47"/>
  <c r="Q105" i="47"/>
  <c r="V103" i="47"/>
  <c r="W103" i="47"/>
  <c r="Y91" i="47" s="1"/>
  <c r="C28" i="31" s="1"/>
  <c r="C29" i="37" s="1"/>
  <c r="AH35" i="48"/>
  <c r="AH39" i="48" s="1"/>
  <c r="AD35" i="48"/>
  <c r="AD39" i="48" s="1"/>
  <c r="Z35" i="48"/>
  <c r="Z39" i="48" s="1"/>
  <c r="AF35" i="48"/>
  <c r="AF39" i="48" s="1"/>
  <c r="AB35" i="48"/>
  <c r="AB39" i="48" s="1"/>
  <c r="X35" i="48"/>
  <c r="X39" i="48" s="1"/>
  <c r="P116" i="47"/>
  <c r="R92" i="47" s="1"/>
  <c r="V115" i="47"/>
  <c r="AC104" i="47"/>
  <c r="W98" i="47"/>
  <c r="AC94" i="47"/>
  <c r="Q90" i="47"/>
  <c r="Q89" i="47"/>
  <c r="R44" i="47" s="1"/>
  <c r="W86" i="47"/>
  <c r="Q86" i="47"/>
  <c r="U31" i="49"/>
  <c r="U36" i="49" s="1"/>
  <c r="V36" i="49" s="1"/>
  <c r="V335" i="68"/>
  <c r="W335" i="68" s="1"/>
  <c r="V274" i="68"/>
  <c r="V238" i="68"/>
  <c r="W238" i="68" s="1"/>
  <c r="Y238" i="68" s="1"/>
  <c r="V214" i="68"/>
  <c r="P206" i="68"/>
  <c r="V168" i="68"/>
  <c r="W168" i="68" s="1"/>
  <c r="Y168" i="68" s="1"/>
  <c r="P168" i="68"/>
  <c r="V149" i="68"/>
  <c r="W149" i="68" s="1"/>
  <c r="Y149" i="68" s="1"/>
  <c r="P147" i="68"/>
  <c r="V120" i="68"/>
  <c r="W120" i="68" s="1"/>
  <c r="Y120" i="68" s="1"/>
  <c r="V117" i="68"/>
  <c r="W117" i="68" s="1"/>
  <c r="Y117" i="68" s="1"/>
  <c r="V341" i="68"/>
  <c r="V111" i="68"/>
  <c r="W111" i="68" s="1"/>
  <c r="Y111" i="68" s="1"/>
  <c r="V110" i="68"/>
  <c r="W110" i="68" s="1"/>
  <c r="Y110" i="68" s="1"/>
  <c r="V73" i="68"/>
  <c r="P73" i="68"/>
  <c r="P30" i="49"/>
  <c r="P214" i="68"/>
  <c r="X53" i="8"/>
  <c r="P20" i="68"/>
  <c r="P303" i="68"/>
  <c r="P305" i="68"/>
  <c r="P50" i="68"/>
  <c r="R50" i="68" s="1"/>
  <c r="T50" i="68" s="1"/>
  <c r="P299" i="68"/>
  <c r="D37" i="12"/>
  <c r="D81" i="12"/>
  <c r="P22" i="68"/>
  <c r="V24" i="68"/>
  <c r="P24" i="68"/>
  <c r="T340" i="68" l="1"/>
  <c r="T332" i="68"/>
  <c r="R337" i="68"/>
  <c r="R330" i="68"/>
  <c r="AK330" i="68" s="1"/>
  <c r="AL330" i="68" s="1"/>
  <c r="Q351" i="68"/>
  <c r="T329" i="68"/>
  <c r="C58" i="8"/>
  <c r="D58" i="8" s="1"/>
  <c r="D38" i="8" s="1"/>
  <c r="E37" i="43"/>
  <c r="AB49" i="31"/>
  <c r="G66" i="32"/>
  <c r="P21" i="32"/>
  <c r="Q21" i="32" s="1"/>
  <c r="R21" i="32" s="1"/>
  <c r="C23" i="40" s="1"/>
  <c r="D23" i="40" s="1"/>
  <c r="Q22" i="32"/>
  <c r="R22" i="32" s="1"/>
  <c r="Q28" i="32"/>
  <c r="R28" i="32" s="1"/>
  <c r="C29" i="40" s="1"/>
  <c r="D29" i="40" s="1"/>
  <c r="H13" i="9"/>
  <c r="H64" i="2" s="1"/>
  <c r="J64" i="2" s="1"/>
  <c r="R24" i="32"/>
  <c r="C25" i="40" s="1"/>
  <c r="D25" i="40" s="1"/>
  <c r="C28" i="40"/>
  <c r="D28" i="40" s="1"/>
  <c r="R12" i="32"/>
  <c r="C15" i="40" s="1"/>
  <c r="D15" i="40" s="1"/>
  <c r="J30" i="39"/>
  <c r="J28" i="28"/>
  <c r="K26" i="28" s="1"/>
  <c r="G10" i="28"/>
  <c r="G14" i="28"/>
  <c r="G27" i="26" s="1"/>
  <c r="G14" i="6"/>
  <c r="G25" i="8" s="1"/>
  <c r="N139" i="7"/>
  <c r="N142" i="7"/>
  <c r="E56" i="25"/>
  <c r="F13" i="25" s="1"/>
  <c r="E49" i="43"/>
  <c r="AB20" i="31"/>
  <c r="J29" i="31"/>
  <c r="I90" i="31"/>
  <c r="AA90" i="31"/>
  <c r="AH90" i="31" s="1"/>
  <c r="Q269" i="47"/>
  <c r="R269" i="47" s="1"/>
  <c r="Q266" i="47"/>
  <c r="R266" i="47" s="1"/>
  <c r="R191" i="47"/>
  <c r="S11" i="31"/>
  <c r="Q270" i="47"/>
  <c r="R270" i="47" s="1"/>
  <c r="Q267" i="47"/>
  <c r="R267" i="47" s="1"/>
  <c r="AB43" i="31"/>
  <c r="I36" i="37"/>
  <c r="S47" i="31"/>
  <c r="AE47" i="31" s="1"/>
  <c r="I59" i="37"/>
  <c r="AB22" i="31"/>
  <c r="W72" i="31"/>
  <c r="AB72" i="31" s="1"/>
  <c r="R92" i="31"/>
  <c r="J11" i="31"/>
  <c r="R24" i="31"/>
  <c r="C23" i="15" s="1"/>
  <c r="K23" i="15" s="1"/>
  <c r="S54" i="31"/>
  <c r="AE54" i="31" s="1"/>
  <c r="J39" i="31"/>
  <c r="AB11" i="31"/>
  <c r="C74" i="37"/>
  <c r="F74" i="37" s="1"/>
  <c r="H74" i="37" s="1"/>
  <c r="S43" i="31"/>
  <c r="AB92" i="31"/>
  <c r="C29" i="29" s="1"/>
  <c r="AA72" i="31"/>
  <c r="C69" i="16" s="1"/>
  <c r="J65" i="31"/>
  <c r="AE65" i="31" s="1"/>
  <c r="S60" i="31"/>
  <c r="N73" i="31"/>
  <c r="S73" i="31" s="1"/>
  <c r="S29" i="31"/>
  <c r="J53" i="31"/>
  <c r="U94" i="31"/>
  <c r="Q22" i="37"/>
  <c r="M74" i="37"/>
  <c r="Q74" i="37" s="1"/>
  <c r="S92" i="37"/>
  <c r="M90" i="37"/>
  <c r="Q90" i="37" s="1"/>
  <c r="J68" i="31"/>
  <c r="AE68" i="31" s="1"/>
  <c r="J59" i="31"/>
  <c r="S41" i="31"/>
  <c r="S59" i="31"/>
  <c r="J63" i="31"/>
  <c r="AB73" i="31"/>
  <c r="AB26" i="31"/>
  <c r="AB67" i="31"/>
  <c r="E92" i="31"/>
  <c r="J92" i="31" s="1"/>
  <c r="C27" i="29" s="1"/>
  <c r="J66" i="31"/>
  <c r="AE66" i="31" s="1"/>
  <c r="J36" i="31"/>
  <c r="AE36" i="31" s="1"/>
  <c r="S89" i="31"/>
  <c r="U90" i="37"/>
  <c r="Y90" i="37" s="1"/>
  <c r="AA89" i="31"/>
  <c r="AB16" i="31"/>
  <c r="J55" i="31"/>
  <c r="S45" i="31"/>
  <c r="R89" i="31"/>
  <c r="J31" i="31"/>
  <c r="AE31" i="31" s="1"/>
  <c r="U88" i="37"/>
  <c r="V73" i="37"/>
  <c r="X73" i="37" s="1"/>
  <c r="Y73" i="37" s="1"/>
  <c r="AB48" i="31"/>
  <c r="S55" i="31"/>
  <c r="AA73" i="31"/>
  <c r="C70" i="16" s="1"/>
  <c r="J70" i="16" s="1"/>
  <c r="S48" i="31"/>
  <c r="S30" i="31"/>
  <c r="AE30" i="31" s="1"/>
  <c r="K58" i="15"/>
  <c r="S26" i="31"/>
  <c r="J42" i="31"/>
  <c r="AE42" i="31" s="1"/>
  <c r="W94" i="31"/>
  <c r="I19" i="37"/>
  <c r="E58" i="15"/>
  <c r="S56" i="31"/>
  <c r="AE56" i="31" s="1"/>
  <c r="C94" i="31"/>
  <c r="H58" i="15"/>
  <c r="S74" i="37"/>
  <c r="V74" i="37" s="1"/>
  <c r="X74" i="37" s="1"/>
  <c r="J13" i="31"/>
  <c r="AE13" i="31" s="1"/>
  <c r="AB59" i="31"/>
  <c r="I89" i="31"/>
  <c r="AH60" i="31"/>
  <c r="H66" i="2"/>
  <c r="J66" i="2" s="1"/>
  <c r="H66" i="69"/>
  <c r="I66" i="69" s="1"/>
  <c r="C67" i="3" s="1"/>
  <c r="N46" i="32"/>
  <c r="J27" i="6"/>
  <c r="K27" i="6" s="1"/>
  <c r="M73" i="46"/>
  <c r="L73" i="46"/>
  <c r="N135" i="7"/>
  <c r="N132" i="7"/>
  <c r="F18" i="2"/>
  <c r="J18" i="2" s="1"/>
  <c r="N18" i="2" s="1"/>
  <c r="P18" i="2" s="1"/>
  <c r="N141" i="7"/>
  <c r="N136" i="7"/>
  <c r="N133" i="7"/>
  <c r="N134" i="7"/>
  <c r="N131" i="7"/>
  <c r="N354" i="68"/>
  <c r="W329" i="68"/>
  <c r="Y329" i="68" s="1"/>
  <c r="W341" i="68"/>
  <c r="Y341" i="68" s="1"/>
  <c r="W330" i="68"/>
  <c r="Y330" i="68" s="1"/>
  <c r="W339" i="68"/>
  <c r="Y339" i="68" s="1"/>
  <c r="W332" i="68"/>
  <c r="Y332" i="68" s="1"/>
  <c r="W338" i="68"/>
  <c r="Y338" i="68" s="1"/>
  <c r="W331" i="68"/>
  <c r="Y331" i="68" s="1"/>
  <c r="AK331" i="68"/>
  <c r="AL331" i="68" s="1"/>
  <c r="W337" i="68"/>
  <c r="Y337" i="68" s="1"/>
  <c r="AK337" i="68"/>
  <c r="AL337" i="68" s="1"/>
  <c r="W340" i="68"/>
  <c r="Y340" i="68" s="1"/>
  <c r="W304" i="68"/>
  <c r="Y304" i="68" s="1"/>
  <c r="AK304" i="68"/>
  <c r="AL304" i="68" s="1"/>
  <c r="Y325" i="68"/>
  <c r="Q36" i="68"/>
  <c r="V201" i="68"/>
  <c r="W201" i="68" s="1"/>
  <c r="Y201" i="68" s="1"/>
  <c r="P325" i="68"/>
  <c r="W44" i="68"/>
  <c r="T274" i="68"/>
  <c r="T277" i="68" s="1"/>
  <c r="J23" i="43" s="1"/>
  <c r="K18" i="8" s="1"/>
  <c r="K14" i="8" s="1"/>
  <c r="P277" i="68"/>
  <c r="T297" i="68"/>
  <c r="Z297" i="68" s="1"/>
  <c r="AA297" i="68" s="1"/>
  <c r="P233" i="68"/>
  <c r="P317" i="68"/>
  <c r="T71" i="68"/>
  <c r="Z71" i="68" s="1"/>
  <c r="AB71" i="68" s="1"/>
  <c r="P203" i="68"/>
  <c r="T328" i="68"/>
  <c r="Z328" i="68" s="1"/>
  <c r="AA328" i="68" s="1"/>
  <c r="P351" i="68"/>
  <c r="T63" i="68"/>
  <c r="T68" i="68" s="1"/>
  <c r="D23" i="43" s="1"/>
  <c r="E18" i="8" s="1"/>
  <c r="P68" i="68"/>
  <c r="R44" i="68"/>
  <c r="P59" i="68"/>
  <c r="P270" i="68"/>
  <c r="T163" i="68"/>
  <c r="Z163" i="68" s="1"/>
  <c r="AB163" i="68" s="1"/>
  <c r="T162" i="68"/>
  <c r="Z162" i="68" s="1"/>
  <c r="AB162" i="68" s="1"/>
  <c r="T120" i="68"/>
  <c r="Z120" i="68" s="1"/>
  <c r="AB120" i="68" s="1"/>
  <c r="Z126" i="68"/>
  <c r="AB126" i="68" s="1"/>
  <c r="Z153" i="68"/>
  <c r="AB153" i="68" s="1"/>
  <c r="T122" i="68"/>
  <c r="Z122" i="68" s="1"/>
  <c r="AA122" i="68" s="1"/>
  <c r="T19" i="68"/>
  <c r="R159" i="68"/>
  <c r="W25" i="68"/>
  <c r="R221" i="68"/>
  <c r="Z169" i="68"/>
  <c r="AA169" i="68" s="1"/>
  <c r="R25" i="68"/>
  <c r="T173" i="68"/>
  <c r="Z173" i="68" s="1"/>
  <c r="AB173" i="68" s="1"/>
  <c r="Z115" i="68"/>
  <c r="AB115" i="68" s="1"/>
  <c r="T223" i="68"/>
  <c r="Z223" i="68" s="1"/>
  <c r="AB223" i="68" s="1"/>
  <c r="R151" i="68"/>
  <c r="O73" i="46"/>
  <c r="Q73" i="46" s="1"/>
  <c r="R19" i="32"/>
  <c r="C21" i="40" s="1"/>
  <c r="D21" i="40" s="1"/>
  <c r="H11" i="9"/>
  <c r="R16" i="32"/>
  <c r="C18" i="40" s="1"/>
  <c r="D18" i="40" s="1"/>
  <c r="Z124" i="68"/>
  <c r="AA124" i="68" s="1"/>
  <c r="R126" i="68"/>
  <c r="R115" i="68"/>
  <c r="T87" i="68"/>
  <c r="Z87" i="68" s="1"/>
  <c r="AB87" i="68" s="1"/>
  <c r="R207" i="68"/>
  <c r="R63" i="68"/>
  <c r="Z90" i="68"/>
  <c r="AB90" i="68" s="1"/>
  <c r="Z224" i="68"/>
  <c r="AB224" i="68" s="1"/>
  <c r="T333" i="68"/>
  <c r="Z333" i="68" s="1"/>
  <c r="AA333" i="68" s="1"/>
  <c r="T86" i="68"/>
  <c r="Z86" i="68" s="1"/>
  <c r="AB86" i="68" s="1"/>
  <c r="R98" i="68"/>
  <c r="T161" i="68"/>
  <c r="Z161" i="68" s="1"/>
  <c r="AB161" i="68" s="1"/>
  <c r="Z302" i="68"/>
  <c r="AB302" i="68" s="1"/>
  <c r="Z103" i="68"/>
  <c r="AB103" i="68" s="1"/>
  <c r="Z113" i="68"/>
  <c r="AB113" i="68" s="1"/>
  <c r="Z239" i="68"/>
  <c r="AB239" i="68" s="1"/>
  <c r="T337" i="68"/>
  <c r="Z337" i="68" s="1"/>
  <c r="H81" i="2"/>
  <c r="H81" i="69"/>
  <c r="I81" i="69" s="1"/>
  <c r="J81" i="2"/>
  <c r="E27" i="36"/>
  <c r="E34" i="36" s="1"/>
  <c r="J99" i="2"/>
  <c r="H99" i="69"/>
  <c r="I99" i="69" s="1"/>
  <c r="C100" i="3" s="1"/>
  <c r="K34" i="2"/>
  <c r="F31" i="37"/>
  <c r="H31" i="37" s="1"/>
  <c r="I31" i="37" s="1"/>
  <c r="E67" i="37"/>
  <c r="I67" i="37" s="1"/>
  <c r="Y21" i="37"/>
  <c r="I47" i="37"/>
  <c r="R15" i="32"/>
  <c r="C17" i="40" s="1"/>
  <c r="D17" i="40" s="1"/>
  <c r="Z134" i="68"/>
  <c r="AB134" i="68" s="1"/>
  <c r="V47" i="68"/>
  <c r="W47" i="68" s="1"/>
  <c r="Y47" i="68" s="1"/>
  <c r="Z47" i="68" s="1"/>
  <c r="AB47" i="68" s="1"/>
  <c r="T25" i="68"/>
  <c r="Z156" i="68"/>
  <c r="AA156" i="68" s="1"/>
  <c r="V45" i="68"/>
  <c r="W45" i="68" s="1"/>
  <c r="Y45" i="68" s="1"/>
  <c r="Z45" i="68" s="1"/>
  <c r="AB45" i="68" s="1"/>
  <c r="V18" i="68"/>
  <c r="W18" i="68" s="1"/>
  <c r="Y18" i="68" s="1"/>
  <c r="Z18" i="68" s="1"/>
  <c r="AA18" i="68" s="1"/>
  <c r="R254" i="68"/>
  <c r="V254" i="68" s="1"/>
  <c r="W254" i="68" s="1"/>
  <c r="Y254" i="68" s="1"/>
  <c r="Z254" i="68" s="1"/>
  <c r="AB254" i="68" s="1"/>
  <c r="Z160" i="68"/>
  <c r="AB160" i="68" s="1"/>
  <c r="T154" i="68"/>
  <c r="Z154" i="68" s="1"/>
  <c r="AB154" i="68" s="1"/>
  <c r="Z225" i="68"/>
  <c r="AB225" i="68" s="1"/>
  <c r="T222" i="68"/>
  <c r="Z222" i="68" s="1"/>
  <c r="AB222" i="68" s="1"/>
  <c r="Z127" i="68"/>
  <c r="AB127" i="68" s="1"/>
  <c r="R76" i="68"/>
  <c r="V16" i="68"/>
  <c r="W16" i="68" s="1"/>
  <c r="Y16" i="68" s="1"/>
  <c r="Z16" i="68" s="1"/>
  <c r="AB16" i="68" s="1"/>
  <c r="Z308" i="68"/>
  <c r="AB308" i="68" s="1"/>
  <c r="V51" i="68"/>
  <c r="W51" i="68" s="1"/>
  <c r="Y51" i="68" s="1"/>
  <c r="Z51" i="68" s="1"/>
  <c r="AB51" i="68" s="1"/>
  <c r="V49" i="68"/>
  <c r="W49" i="68" s="1"/>
  <c r="Y49" i="68" s="1"/>
  <c r="Z49" i="68" s="1"/>
  <c r="AB49" i="68" s="1"/>
  <c r="R93" i="68"/>
  <c r="T330" i="68"/>
  <c r="Z330" i="68" s="1"/>
  <c r="T309" i="68"/>
  <c r="Z309" i="68" s="1"/>
  <c r="AB309" i="68" s="1"/>
  <c r="R153" i="68"/>
  <c r="T335" i="68"/>
  <c r="R169" i="68"/>
  <c r="R134" i="68"/>
  <c r="T166" i="68"/>
  <c r="Z166" i="68" s="1"/>
  <c r="Z114" i="68"/>
  <c r="AB114" i="68" s="1"/>
  <c r="Z100" i="68"/>
  <c r="AB100" i="68" s="1"/>
  <c r="Z207" i="68"/>
  <c r="AB207" i="68" s="1"/>
  <c r="R345" i="68"/>
  <c r="V345" i="68" s="1"/>
  <c r="W345" i="68" s="1"/>
  <c r="Y345" i="68" s="1"/>
  <c r="Z345" i="68" s="1"/>
  <c r="AB345" i="68" s="1"/>
  <c r="T211" i="68"/>
  <c r="Z211" i="68" s="1"/>
  <c r="AA211" i="68" s="1"/>
  <c r="R78" i="68"/>
  <c r="T121" i="68"/>
  <c r="Z121" i="68" s="1"/>
  <c r="AB121" i="68" s="1"/>
  <c r="R176" i="68"/>
  <c r="Z92" i="68"/>
  <c r="AA92" i="68" s="1"/>
  <c r="Z77" i="68"/>
  <c r="AA77" i="68" s="1"/>
  <c r="Z129" i="68"/>
  <c r="AB129" i="68" s="1"/>
  <c r="R127" i="68"/>
  <c r="R245" i="68"/>
  <c r="T141" i="68"/>
  <c r="Z141" i="68" s="1"/>
  <c r="AA141" i="68" s="1"/>
  <c r="T210" i="68"/>
  <c r="Z210" i="68" s="1"/>
  <c r="AB210" i="68" s="1"/>
  <c r="Z343" i="68"/>
  <c r="AA343" i="68" s="1"/>
  <c r="R138" i="68"/>
  <c r="Z82" i="68"/>
  <c r="AB82" i="68" s="1"/>
  <c r="R156" i="68"/>
  <c r="Z251" i="68"/>
  <c r="AA251" i="68" s="1"/>
  <c r="T27" i="68"/>
  <c r="Z27" i="68" s="1"/>
  <c r="AB27" i="68" s="1"/>
  <c r="T128" i="68"/>
  <c r="Z128" i="68" s="1"/>
  <c r="AB128" i="68" s="1"/>
  <c r="R293" i="68"/>
  <c r="R114" i="68"/>
  <c r="Z340" i="68"/>
  <c r="W37" i="31"/>
  <c r="S38" i="37"/>
  <c r="V38" i="37" s="1"/>
  <c r="X38" i="37" s="1"/>
  <c r="V67" i="37"/>
  <c r="X67" i="37" s="1"/>
  <c r="U67" i="37"/>
  <c r="E66" i="37"/>
  <c r="F66" i="37"/>
  <c r="H66" i="37" s="1"/>
  <c r="S63" i="31"/>
  <c r="J44" i="31"/>
  <c r="J50" i="31"/>
  <c r="J45" i="31"/>
  <c r="AB29" i="31"/>
  <c r="AB63" i="31"/>
  <c r="AB50" i="31"/>
  <c r="S22" i="31"/>
  <c r="J67" i="31"/>
  <c r="W27" i="31"/>
  <c r="AB27" i="31" s="1"/>
  <c r="S28" i="37"/>
  <c r="N68" i="37"/>
  <c r="P68" i="37" s="1"/>
  <c r="M68" i="37"/>
  <c r="W60" i="31"/>
  <c r="AB60" i="31" s="1"/>
  <c r="S61" i="37"/>
  <c r="E14" i="37"/>
  <c r="F14" i="37"/>
  <c r="H14" i="37" s="1"/>
  <c r="F32" i="37"/>
  <c r="H32" i="37" s="1"/>
  <c r="E32" i="37"/>
  <c r="N65" i="37"/>
  <c r="P65" i="37" s="1"/>
  <c r="M65" i="37"/>
  <c r="N12" i="37"/>
  <c r="P12" i="37" s="1"/>
  <c r="M12" i="37"/>
  <c r="U44" i="37"/>
  <c r="V44" i="37"/>
  <c r="X44" i="37" s="1"/>
  <c r="M43" i="37"/>
  <c r="N43" i="37"/>
  <c r="P43" i="37" s="1"/>
  <c r="M45" i="37"/>
  <c r="N45" i="37"/>
  <c r="P45" i="37" s="1"/>
  <c r="V50" i="37"/>
  <c r="X50" i="37" s="1"/>
  <c r="U50" i="37"/>
  <c r="S34" i="31"/>
  <c r="U14" i="37"/>
  <c r="V14" i="37"/>
  <c r="X14" i="37" s="1"/>
  <c r="K92" i="37"/>
  <c r="M88" i="37"/>
  <c r="M92" i="37" s="1"/>
  <c r="V23" i="37"/>
  <c r="X23" i="37" s="1"/>
  <c r="U23" i="37"/>
  <c r="V30" i="37"/>
  <c r="X30" i="37" s="1"/>
  <c r="U30" i="37"/>
  <c r="N72" i="31"/>
  <c r="S72" i="31" s="1"/>
  <c r="E43" i="37"/>
  <c r="F43" i="37"/>
  <c r="H43" i="37" s="1"/>
  <c r="M57" i="37"/>
  <c r="N57" i="37"/>
  <c r="P57" i="37" s="1"/>
  <c r="F29" i="37"/>
  <c r="H29" i="37" s="1"/>
  <c r="E29" i="37"/>
  <c r="S58" i="31"/>
  <c r="AE58" i="31" s="1"/>
  <c r="V37" i="37"/>
  <c r="X37" i="37" s="1"/>
  <c r="U37" i="37"/>
  <c r="N13" i="37"/>
  <c r="P13" i="37" s="1"/>
  <c r="M13" i="37"/>
  <c r="U40" i="37"/>
  <c r="V40" i="37"/>
  <c r="X40" i="37" s="1"/>
  <c r="AB55" i="31"/>
  <c r="N24" i="31"/>
  <c r="S24" i="31" s="1"/>
  <c r="K25" i="37"/>
  <c r="V68" i="37"/>
  <c r="X68" i="37" s="1"/>
  <c r="U68" i="37"/>
  <c r="N37" i="37"/>
  <c r="P37" i="37" s="1"/>
  <c r="M37" i="37"/>
  <c r="V63" i="37"/>
  <c r="X63" i="37" s="1"/>
  <c r="U63" i="37"/>
  <c r="M58" i="37"/>
  <c r="Q58" i="37" s="1"/>
  <c r="AB39" i="31"/>
  <c r="J48" i="31"/>
  <c r="AH21" i="31"/>
  <c r="S61" i="31"/>
  <c r="I22" i="37"/>
  <c r="N44" i="37"/>
  <c r="P44" i="37" s="1"/>
  <c r="M44" i="37"/>
  <c r="Q21" i="37"/>
  <c r="F61" i="37"/>
  <c r="H61" i="37" s="1"/>
  <c r="E61" i="37"/>
  <c r="E90" i="37"/>
  <c r="E92" i="37" s="1"/>
  <c r="F90" i="37"/>
  <c r="V45" i="37"/>
  <c r="X45" i="37" s="1"/>
  <c r="U45" i="37"/>
  <c r="M46" i="37"/>
  <c r="N46" i="37"/>
  <c r="P46" i="37" s="1"/>
  <c r="V32" i="37"/>
  <c r="X32" i="37" s="1"/>
  <c r="U32" i="37"/>
  <c r="V46" i="37"/>
  <c r="X46" i="37" s="1"/>
  <c r="U46" i="37"/>
  <c r="V47" i="37"/>
  <c r="X47" i="37" s="1"/>
  <c r="U47" i="37"/>
  <c r="M50" i="37"/>
  <c r="N50" i="37"/>
  <c r="P50" i="37" s="1"/>
  <c r="E68" i="37"/>
  <c r="F68" i="37"/>
  <c r="H68" i="37" s="1"/>
  <c r="E45" i="37"/>
  <c r="F45" i="37"/>
  <c r="H45" i="37" s="1"/>
  <c r="F49" i="37"/>
  <c r="H49" i="37" s="1"/>
  <c r="E49" i="37"/>
  <c r="E51" i="37"/>
  <c r="I51" i="37" s="1"/>
  <c r="M62" i="37"/>
  <c r="N62" i="37"/>
  <c r="P62" i="37" s="1"/>
  <c r="N49" i="37"/>
  <c r="P49" i="37" s="1"/>
  <c r="M49" i="37"/>
  <c r="N73" i="37"/>
  <c r="P73" i="37" s="1"/>
  <c r="M73" i="37"/>
  <c r="J22" i="31"/>
  <c r="S53" i="31"/>
  <c r="S44" i="31"/>
  <c r="M32" i="37"/>
  <c r="N32" i="37"/>
  <c r="P32" i="37" s="1"/>
  <c r="M23" i="37"/>
  <c r="N23" i="37"/>
  <c r="P23" i="37" s="1"/>
  <c r="M63" i="37"/>
  <c r="N63" i="37"/>
  <c r="P63" i="37" s="1"/>
  <c r="S39" i="31"/>
  <c r="L94" i="31"/>
  <c r="I21" i="37"/>
  <c r="N61" i="37"/>
  <c r="P61" i="37" s="1"/>
  <c r="M61" i="37"/>
  <c r="M48" i="37"/>
  <c r="N48" i="37"/>
  <c r="P48" i="37" s="1"/>
  <c r="U62" i="37"/>
  <c r="V62" i="37"/>
  <c r="X62" i="37" s="1"/>
  <c r="Y24" i="37"/>
  <c r="Y69" i="37"/>
  <c r="AB45" i="31"/>
  <c r="M14" i="37"/>
  <c r="N14" i="37"/>
  <c r="P14" i="37" s="1"/>
  <c r="F65" i="37"/>
  <c r="H65" i="37" s="1"/>
  <c r="E65" i="37"/>
  <c r="J61" i="31"/>
  <c r="J41" i="31"/>
  <c r="N24" i="37"/>
  <c r="P24" i="37" s="1"/>
  <c r="M24" i="37"/>
  <c r="AB53" i="31"/>
  <c r="W24" i="31"/>
  <c r="S25" i="37"/>
  <c r="Y22" i="37"/>
  <c r="V48" i="37"/>
  <c r="X48" i="37" s="1"/>
  <c r="U48" i="37"/>
  <c r="V54" i="37"/>
  <c r="X54" i="37" s="1"/>
  <c r="U54" i="37"/>
  <c r="V49" i="37"/>
  <c r="X49" i="37" s="1"/>
  <c r="U49" i="37"/>
  <c r="M54" i="37"/>
  <c r="N54" i="37"/>
  <c r="P54" i="37" s="1"/>
  <c r="G12" i="6"/>
  <c r="G27" i="8" s="1"/>
  <c r="X27" i="8" s="1"/>
  <c r="G18" i="45"/>
  <c r="G10" i="6"/>
  <c r="G26" i="8" s="1"/>
  <c r="X26" i="8" s="1"/>
  <c r="Q51" i="30"/>
  <c r="P53" i="30" s="1"/>
  <c r="R72" i="31"/>
  <c r="C69" i="15" s="1"/>
  <c r="AA37" i="31"/>
  <c r="C35" i="16" s="1"/>
  <c r="J35" i="16" s="1"/>
  <c r="Z37" i="31"/>
  <c r="AH56" i="31"/>
  <c r="R185" i="47"/>
  <c r="R197" i="47"/>
  <c r="R190" i="47"/>
  <c r="J59" i="15"/>
  <c r="J61" i="15"/>
  <c r="K61" i="15" s="1"/>
  <c r="R186" i="47"/>
  <c r="H59" i="15"/>
  <c r="K31" i="14"/>
  <c r="K54" i="15"/>
  <c r="R203" i="47"/>
  <c r="R188" i="47"/>
  <c r="J21" i="31"/>
  <c r="J31" i="14"/>
  <c r="AH91" i="31"/>
  <c r="R192" i="47"/>
  <c r="R200" i="47"/>
  <c r="R201" i="47"/>
  <c r="R199" i="47"/>
  <c r="R189" i="47"/>
  <c r="R183" i="47"/>
  <c r="R182" i="47"/>
  <c r="R181" i="47"/>
  <c r="N42" i="37"/>
  <c r="P42" i="37" s="1"/>
  <c r="M42" i="37"/>
  <c r="F42" i="37"/>
  <c r="H42" i="37" s="1"/>
  <c r="E42" i="37"/>
  <c r="J40" i="31"/>
  <c r="AE40" i="31" s="1"/>
  <c r="M40" i="37"/>
  <c r="N40" i="37"/>
  <c r="P40" i="37" s="1"/>
  <c r="F40" i="37"/>
  <c r="H40" i="37" s="1"/>
  <c r="E40" i="37"/>
  <c r="M38" i="37"/>
  <c r="N38" i="37"/>
  <c r="P38" i="37" s="1"/>
  <c r="N35" i="37"/>
  <c r="P35" i="37" s="1"/>
  <c r="M35" i="37"/>
  <c r="F50" i="37"/>
  <c r="H50" i="37" s="1"/>
  <c r="E50" i="37"/>
  <c r="V60" i="37"/>
  <c r="X60" i="37" s="1"/>
  <c r="U60" i="37"/>
  <c r="N60" i="37"/>
  <c r="P60" i="37" s="1"/>
  <c r="M60" i="37"/>
  <c r="E60" i="37"/>
  <c r="F60" i="37"/>
  <c r="H60" i="37" s="1"/>
  <c r="U56" i="37"/>
  <c r="V56" i="37"/>
  <c r="X56" i="37" s="1"/>
  <c r="M56" i="37"/>
  <c r="N56" i="37"/>
  <c r="P56" i="37" s="1"/>
  <c r="F56" i="37"/>
  <c r="H56" i="37" s="1"/>
  <c r="E56" i="37"/>
  <c r="U59" i="37"/>
  <c r="V59" i="37"/>
  <c r="X59" i="37" s="1"/>
  <c r="M59" i="37"/>
  <c r="N59" i="37"/>
  <c r="P59" i="37" s="1"/>
  <c r="V55" i="37"/>
  <c r="X55" i="37" s="1"/>
  <c r="U55" i="37"/>
  <c r="N55" i="37"/>
  <c r="P55" i="37" s="1"/>
  <c r="M55" i="37"/>
  <c r="E55" i="37"/>
  <c r="F55" i="37"/>
  <c r="H55" i="37" s="1"/>
  <c r="E58" i="37"/>
  <c r="F58" i="37"/>
  <c r="H58" i="37" s="1"/>
  <c r="E54" i="37"/>
  <c r="F54" i="37"/>
  <c r="H54" i="37" s="1"/>
  <c r="E69" i="37"/>
  <c r="F69" i="37"/>
  <c r="H69" i="37" s="1"/>
  <c r="R196" i="47"/>
  <c r="E41" i="37"/>
  <c r="F41" i="37"/>
  <c r="H41" i="37" s="1"/>
  <c r="E38" i="37"/>
  <c r="I38" i="37" s="1"/>
  <c r="R187" i="47"/>
  <c r="R184" i="47"/>
  <c r="E37" i="37"/>
  <c r="F37" i="37"/>
  <c r="H37" i="37" s="1"/>
  <c r="F35" i="37"/>
  <c r="H35" i="37" s="1"/>
  <c r="E35" i="37"/>
  <c r="U66" i="37"/>
  <c r="V66" i="37"/>
  <c r="X66" i="37" s="1"/>
  <c r="N66" i="37"/>
  <c r="P66" i="37" s="1"/>
  <c r="M66" i="37"/>
  <c r="V31" i="37"/>
  <c r="X31" i="37" s="1"/>
  <c r="U31" i="37"/>
  <c r="N31" i="37"/>
  <c r="P31" i="37" s="1"/>
  <c r="M31" i="37"/>
  <c r="V51" i="37"/>
  <c r="X51" i="37" s="1"/>
  <c r="U51" i="37"/>
  <c r="E72" i="31"/>
  <c r="J72" i="31" s="1"/>
  <c r="C73" i="37"/>
  <c r="N30" i="37"/>
  <c r="P30" i="37" s="1"/>
  <c r="M30" i="37"/>
  <c r="F30" i="37"/>
  <c r="H30" i="37" s="1"/>
  <c r="E30" i="37"/>
  <c r="V64" i="37"/>
  <c r="X64" i="37" s="1"/>
  <c r="U64" i="37"/>
  <c r="M64" i="37"/>
  <c r="N64" i="37"/>
  <c r="P64" i="37" s="1"/>
  <c r="F64" i="37"/>
  <c r="H64" i="37" s="1"/>
  <c r="E64" i="37"/>
  <c r="E62" i="37"/>
  <c r="F62" i="37"/>
  <c r="H62" i="37" s="1"/>
  <c r="F48" i="37"/>
  <c r="H48" i="37" s="1"/>
  <c r="E48" i="37"/>
  <c r="F46" i="37"/>
  <c r="H46" i="37" s="1"/>
  <c r="E46" i="37"/>
  <c r="F44" i="37"/>
  <c r="H44" i="37" s="1"/>
  <c r="E44" i="37"/>
  <c r="N27" i="31"/>
  <c r="K28" i="37"/>
  <c r="U27" i="37"/>
  <c r="V27" i="37"/>
  <c r="X27" i="37" s="1"/>
  <c r="N27" i="37"/>
  <c r="P27" i="37" s="1"/>
  <c r="M27" i="37"/>
  <c r="W18" i="31"/>
  <c r="S19" i="37"/>
  <c r="E13" i="37"/>
  <c r="F13" i="37"/>
  <c r="H13" i="37" s="1"/>
  <c r="U12" i="37"/>
  <c r="V12" i="37"/>
  <c r="X12" i="37" s="1"/>
  <c r="F12" i="37"/>
  <c r="H12" i="37" s="1"/>
  <c r="E12" i="37"/>
  <c r="F11" i="37"/>
  <c r="H11" i="37" s="1"/>
  <c r="E11" i="37"/>
  <c r="E24" i="31"/>
  <c r="C25" i="37"/>
  <c r="E23" i="31"/>
  <c r="J23" i="31" s="1"/>
  <c r="C24" i="37"/>
  <c r="E23" i="37"/>
  <c r="F23" i="37"/>
  <c r="H23" i="37" s="1"/>
  <c r="W19" i="31"/>
  <c r="AB19" i="31" s="1"/>
  <c r="S20" i="37"/>
  <c r="AA19" i="31"/>
  <c r="C20" i="16" s="1"/>
  <c r="E20" i="16" s="1"/>
  <c r="M20" i="37"/>
  <c r="N20" i="37"/>
  <c r="P20" i="37" s="1"/>
  <c r="N18" i="31"/>
  <c r="S18" i="31" s="1"/>
  <c r="K19" i="37"/>
  <c r="W17" i="31"/>
  <c r="S18" i="37"/>
  <c r="R17" i="31"/>
  <c r="C18" i="15" s="1"/>
  <c r="J18" i="15" s="1"/>
  <c r="K18" i="37"/>
  <c r="E18" i="37"/>
  <c r="F18" i="37"/>
  <c r="H18" i="37" s="1"/>
  <c r="V17" i="37"/>
  <c r="X17" i="37" s="1"/>
  <c r="U17" i="37"/>
  <c r="N17" i="37"/>
  <c r="P17" i="37" s="1"/>
  <c r="M17" i="37"/>
  <c r="E16" i="31"/>
  <c r="C17" i="37"/>
  <c r="U16" i="37"/>
  <c r="V16" i="37"/>
  <c r="X16" i="37" s="1"/>
  <c r="E15" i="31"/>
  <c r="J15" i="31" s="1"/>
  <c r="C16" i="37"/>
  <c r="W14" i="31"/>
  <c r="AB14" i="31" s="1"/>
  <c r="S15" i="37"/>
  <c r="M15" i="37"/>
  <c r="N15" i="37"/>
  <c r="F15" i="37"/>
  <c r="H15" i="37" s="1"/>
  <c r="E15" i="37"/>
  <c r="C23" i="27"/>
  <c r="F25" i="27" s="1"/>
  <c r="C44" i="27"/>
  <c r="D46" i="27" s="1"/>
  <c r="P52" i="44"/>
  <c r="G58" i="12"/>
  <c r="D58" i="13" s="1"/>
  <c r="N81" i="3"/>
  <c r="K57" i="2"/>
  <c r="R157" i="68"/>
  <c r="R99" i="68"/>
  <c r="R136" i="68"/>
  <c r="T238" i="68"/>
  <c r="Z238" i="68" s="1"/>
  <c r="AB238" i="68" s="1"/>
  <c r="R308" i="68"/>
  <c r="Z88" i="68"/>
  <c r="AB88" i="68" s="1"/>
  <c r="Z258" i="68"/>
  <c r="AB258" i="68" s="1"/>
  <c r="Z48" i="68"/>
  <c r="AA48" i="68" s="1"/>
  <c r="T150" i="68"/>
  <c r="Z150" i="68" s="1"/>
  <c r="T165" i="68"/>
  <c r="Z165" i="68" s="1"/>
  <c r="AA165" i="68" s="1"/>
  <c r="Z244" i="68"/>
  <c r="AB244" i="68" s="1"/>
  <c r="Z99" i="68"/>
  <c r="AA99" i="68" s="1"/>
  <c r="Z164" i="68"/>
  <c r="AA164" i="68" s="1"/>
  <c r="R164" i="68"/>
  <c r="R100" i="68"/>
  <c r="Z221" i="68"/>
  <c r="AB221" i="68" s="1"/>
  <c r="R91" i="68"/>
  <c r="Z332" i="68"/>
  <c r="Z245" i="68"/>
  <c r="AB245" i="68" s="1"/>
  <c r="R82" i="68"/>
  <c r="Z46" i="68"/>
  <c r="AA46" i="68" s="1"/>
  <c r="Z159" i="68"/>
  <c r="AB159" i="68" s="1"/>
  <c r="T137" i="68"/>
  <c r="Z137" i="68" s="1"/>
  <c r="AB137" i="68" s="1"/>
  <c r="Z139" i="68"/>
  <c r="AB139" i="68" s="1"/>
  <c r="T175" i="68"/>
  <c r="Z175" i="68" s="1"/>
  <c r="AB175" i="68" s="1"/>
  <c r="Z293" i="68"/>
  <c r="AB293" i="68" s="1"/>
  <c r="R334" i="68"/>
  <c r="Z91" i="68"/>
  <c r="AB91" i="68" s="1"/>
  <c r="AA21" i="68"/>
  <c r="T167" i="68"/>
  <c r="Z167" i="68" s="1"/>
  <c r="AB167" i="68" s="1"/>
  <c r="T248" i="68"/>
  <c r="Z248" i="68" s="1"/>
  <c r="AA248" i="68" s="1"/>
  <c r="R74" i="68"/>
  <c r="T180" i="68"/>
  <c r="Z180" i="68" s="1"/>
  <c r="AB180" i="68" s="1"/>
  <c r="Z241" i="68"/>
  <c r="AB241" i="68" s="1"/>
  <c r="T253" i="68"/>
  <c r="Z253" i="68" s="1"/>
  <c r="AB253" i="68" s="1"/>
  <c r="T170" i="68"/>
  <c r="Z170" i="68" s="1"/>
  <c r="AB170" i="68" s="1"/>
  <c r="Z107" i="68"/>
  <c r="AB107" i="68" s="1"/>
  <c r="Z151" i="68"/>
  <c r="AB151" i="68" s="1"/>
  <c r="R90" i="68"/>
  <c r="Z76" i="68"/>
  <c r="AA76" i="68" s="1"/>
  <c r="R160" i="68"/>
  <c r="R296" i="68"/>
  <c r="Z275" i="68"/>
  <c r="AA275" i="68" s="1"/>
  <c r="R218" i="68"/>
  <c r="Z17" i="68"/>
  <c r="AA17" i="68" s="1"/>
  <c r="Z50" i="68"/>
  <c r="AA50" i="68" s="1"/>
  <c r="Z148" i="68"/>
  <c r="AB148" i="68" s="1"/>
  <c r="AA307" i="68"/>
  <c r="Z304" i="68"/>
  <c r="R116" i="68"/>
  <c r="Z116" i="68"/>
  <c r="AB116" i="68" s="1"/>
  <c r="R201" i="68"/>
  <c r="T201" i="68"/>
  <c r="T118" i="68"/>
  <c r="Z118" i="68" s="1"/>
  <c r="AA118" i="68" s="1"/>
  <c r="T96" i="68"/>
  <c r="Z96" i="68" s="1"/>
  <c r="AA96" i="68" s="1"/>
  <c r="T152" i="68"/>
  <c r="Z152" i="68" s="1"/>
  <c r="AB152" i="68" s="1"/>
  <c r="T322" i="68"/>
  <c r="Z322" i="68" s="1"/>
  <c r="AA322" i="68" s="1"/>
  <c r="Z119" i="68"/>
  <c r="AB119" i="68" s="1"/>
  <c r="Z181" i="68"/>
  <c r="AB181" i="68" s="1"/>
  <c r="R107" i="68"/>
  <c r="T321" i="68"/>
  <c r="Z321" i="68" s="1"/>
  <c r="Z93" i="68"/>
  <c r="AB93" i="68" s="1"/>
  <c r="T130" i="68"/>
  <c r="Z130" i="68" s="1"/>
  <c r="AB130" i="68" s="1"/>
  <c r="R258" i="68"/>
  <c r="Z74" i="68"/>
  <c r="AB74" i="68" s="1"/>
  <c r="T344" i="68"/>
  <c r="Z344" i="68" s="1"/>
  <c r="AB344" i="68" s="1"/>
  <c r="R302" i="68"/>
  <c r="R260" i="68"/>
  <c r="Z176" i="68"/>
  <c r="AB176" i="68" s="1"/>
  <c r="R243" i="68"/>
  <c r="Z78" i="68"/>
  <c r="AB78" i="68" s="1"/>
  <c r="R88" i="68"/>
  <c r="R224" i="68"/>
  <c r="T101" i="68"/>
  <c r="Z101" i="68" s="1"/>
  <c r="AB101" i="68" s="1"/>
  <c r="R104" i="68"/>
  <c r="Z26" i="68"/>
  <c r="AB26" i="68" s="1"/>
  <c r="R181" i="68"/>
  <c r="R332" i="68"/>
  <c r="AK332" i="68" s="1"/>
  <c r="AL332" i="68" s="1"/>
  <c r="W281" i="68"/>
  <c r="W285" i="68" s="1"/>
  <c r="R140" i="68"/>
  <c r="R124" i="68"/>
  <c r="R274" i="68"/>
  <c r="Z104" i="68"/>
  <c r="AB104" i="68" s="1"/>
  <c r="R329" i="68"/>
  <c r="AK329" i="68" s="1"/>
  <c r="AL329" i="68" s="1"/>
  <c r="Z140" i="68"/>
  <c r="AB140" i="68" s="1"/>
  <c r="R244" i="68"/>
  <c r="V325" i="68"/>
  <c r="Z296" i="68"/>
  <c r="AB296" i="68" s="1"/>
  <c r="R250" i="68"/>
  <c r="T155" i="68"/>
  <c r="Z155" i="68" s="1"/>
  <c r="AB155" i="68" s="1"/>
  <c r="R213" i="68"/>
  <c r="T171" i="68"/>
  <c r="Z171" i="68" s="1"/>
  <c r="AA171" i="68" s="1"/>
  <c r="Z89" i="68"/>
  <c r="AA89" i="68" s="1"/>
  <c r="Z240" i="68"/>
  <c r="AB240" i="68" s="1"/>
  <c r="R177" i="68"/>
  <c r="T123" i="68"/>
  <c r="Z123" i="68" s="1"/>
  <c r="AB123" i="68" s="1"/>
  <c r="R26" i="68"/>
  <c r="R343" i="68"/>
  <c r="R119" i="68"/>
  <c r="R341" i="68"/>
  <c r="AK341" i="68" s="1"/>
  <c r="AL341" i="68" s="1"/>
  <c r="R342" i="68"/>
  <c r="R139" i="68"/>
  <c r="Z209" i="68"/>
  <c r="AB209" i="68" s="1"/>
  <c r="R149" i="68"/>
  <c r="T231" i="68"/>
  <c r="Z231" i="68" s="1"/>
  <c r="R231" i="68"/>
  <c r="R239" i="68"/>
  <c r="R103" i="68"/>
  <c r="R340" i="68"/>
  <c r="AK340" i="68" s="1"/>
  <c r="AL340" i="68" s="1"/>
  <c r="R240" i="68"/>
  <c r="Z247" i="68"/>
  <c r="AB247" i="68" s="1"/>
  <c r="T315" i="68"/>
  <c r="Z315" i="68" s="1"/>
  <c r="AB315" i="68" s="1"/>
  <c r="R275" i="68"/>
  <c r="R71" i="68"/>
  <c r="T72" i="68"/>
  <c r="Z72" i="68" s="1"/>
  <c r="T75" i="68"/>
  <c r="Z75" i="68" s="1"/>
  <c r="AB75" i="68" s="1"/>
  <c r="Z213" i="68"/>
  <c r="AB213" i="68" s="1"/>
  <c r="T298" i="68"/>
  <c r="Z298" i="68" s="1"/>
  <c r="AB298" i="68" s="1"/>
  <c r="R225" i="68"/>
  <c r="R102" i="68"/>
  <c r="R77" i="68"/>
  <c r="Z250" i="68"/>
  <c r="AB250" i="68" s="1"/>
  <c r="R219" i="68"/>
  <c r="T158" i="68"/>
  <c r="Z158" i="68" s="1"/>
  <c r="AB158" i="68" s="1"/>
  <c r="Z260" i="68"/>
  <c r="AA260" i="68" s="1"/>
  <c r="R129" i="68"/>
  <c r="R117" i="68"/>
  <c r="R247" i="68"/>
  <c r="T349" i="68"/>
  <c r="Z349" i="68" s="1"/>
  <c r="AB349" i="68" s="1"/>
  <c r="T135" i="68"/>
  <c r="Z135" i="68" s="1"/>
  <c r="AB135" i="68" s="1"/>
  <c r="T301" i="68"/>
  <c r="Z301" i="68" s="1"/>
  <c r="Z329" i="68"/>
  <c r="T174" i="68"/>
  <c r="Z174" i="68" s="1"/>
  <c r="AB174" i="68" s="1"/>
  <c r="T212" i="68"/>
  <c r="Z212" i="68" s="1"/>
  <c r="AB212" i="68" s="1"/>
  <c r="Z219" i="68"/>
  <c r="AB219" i="68" s="1"/>
  <c r="R328" i="68"/>
  <c r="T108" i="68"/>
  <c r="Z108" i="68" s="1"/>
  <c r="AB108" i="68" s="1"/>
  <c r="R113" i="68"/>
  <c r="R89" i="68"/>
  <c r="Z243" i="68"/>
  <c r="AA243" i="68" s="1"/>
  <c r="Z157" i="68"/>
  <c r="AA157" i="68" s="1"/>
  <c r="Z177" i="68"/>
  <c r="AB177" i="68" s="1"/>
  <c r="Z342" i="68"/>
  <c r="AA342" i="68" s="1"/>
  <c r="T331" i="68"/>
  <c r="Z331" i="68" s="1"/>
  <c r="R241" i="68"/>
  <c r="Z334" i="68"/>
  <c r="AB334" i="68" s="1"/>
  <c r="Z79" i="68"/>
  <c r="AB79" i="68" s="1"/>
  <c r="Z136" i="68"/>
  <c r="AB136" i="68" s="1"/>
  <c r="Z102" i="68"/>
  <c r="AB102" i="68" s="1"/>
  <c r="K96" i="69"/>
  <c r="M58" i="12"/>
  <c r="M57" i="2" s="1"/>
  <c r="L57" i="2"/>
  <c r="N58" i="3"/>
  <c r="N35" i="3"/>
  <c r="F16" i="2"/>
  <c r="J16" i="2" s="1"/>
  <c r="AF101" i="31"/>
  <c r="H100" i="69"/>
  <c r="I100" i="69" s="1"/>
  <c r="C101" i="3" s="1"/>
  <c r="H100" i="2"/>
  <c r="J100" i="2" s="1"/>
  <c r="K36" i="69"/>
  <c r="I18" i="10"/>
  <c r="I20" i="10" s="1"/>
  <c r="D86" i="69" s="1"/>
  <c r="E86" i="69" s="1"/>
  <c r="N92" i="37"/>
  <c r="P88" i="37"/>
  <c r="Y11" i="37"/>
  <c r="H13" i="2"/>
  <c r="J13" i="2" s="1"/>
  <c r="I12" i="69"/>
  <c r="U10" i="25" s="1"/>
  <c r="H12" i="2"/>
  <c r="J12" i="2" s="1"/>
  <c r="H12" i="9"/>
  <c r="R33" i="32"/>
  <c r="C33" i="40" s="1"/>
  <c r="D33" i="40" s="1"/>
  <c r="P73" i="44"/>
  <c r="K23" i="6"/>
  <c r="F26" i="8" s="1"/>
  <c r="W26" i="8" s="1"/>
  <c r="K25" i="6"/>
  <c r="K92" i="3" s="1"/>
  <c r="L92" i="3" s="1"/>
  <c r="W20" i="45"/>
  <c r="X16" i="45" s="1"/>
  <c r="AH64" i="31"/>
  <c r="C62" i="15"/>
  <c r="K62" i="15" s="1"/>
  <c r="AA27" i="31"/>
  <c r="C25" i="16" s="1"/>
  <c r="E25" i="16" s="1"/>
  <c r="H62" i="16"/>
  <c r="J62" i="16"/>
  <c r="H54" i="15"/>
  <c r="AC67" i="31"/>
  <c r="E62" i="16"/>
  <c r="P31" i="14"/>
  <c r="N17" i="31"/>
  <c r="S17" i="31" s="1"/>
  <c r="E34" i="16"/>
  <c r="AA16" i="31"/>
  <c r="C17" i="16" s="1"/>
  <c r="J17" i="16" s="1"/>
  <c r="E54" i="16"/>
  <c r="X24" i="31"/>
  <c r="Z24" i="31" s="1"/>
  <c r="Z99" i="31"/>
  <c r="W25" i="31"/>
  <c r="AB25" i="31" s="1"/>
  <c r="AA25" i="31"/>
  <c r="AH42" i="31"/>
  <c r="J40" i="16"/>
  <c r="H47" i="15"/>
  <c r="R25" i="31"/>
  <c r="N25" i="31"/>
  <c r="S25" i="31" s="1"/>
  <c r="H40" i="16"/>
  <c r="E47" i="15"/>
  <c r="J43" i="15"/>
  <c r="K43" i="15" s="1"/>
  <c r="E55" i="15"/>
  <c r="AA20" i="31"/>
  <c r="AC20" i="31" s="1"/>
  <c r="AC42" i="31"/>
  <c r="AC66" i="31"/>
  <c r="K40" i="16"/>
  <c r="K47" i="15"/>
  <c r="Y89" i="37"/>
  <c r="AA89" i="37" s="1"/>
  <c r="H64" i="15"/>
  <c r="C22" i="29"/>
  <c r="E59" i="15"/>
  <c r="H51" i="16"/>
  <c r="AC53" i="31"/>
  <c r="W99" i="31"/>
  <c r="AA99" i="31"/>
  <c r="R99" i="31"/>
  <c r="N99" i="31"/>
  <c r="S99" i="31" s="1"/>
  <c r="H25" i="31"/>
  <c r="J25" i="31" s="1"/>
  <c r="I25" i="31"/>
  <c r="J54" i="15"/>
  <c r="E51" i="16"/>
  <c r="J57" i="14"/>
  <c r="K57" i="14" s="1"/>
  <c r="AC56" i="31"/>
  <c r="K64" i="16"/>
  <c r="P57" i="14"/>
  <c r="J27" i="16"/>
  <c r="AC29" i="31"/>
  <c r="AD42" i="31"/>
  <c r="K64" i="15"/>
  <c r="H31" i="14"/>
  <c r="AE64" i="31"/>
  <c r="K34" i="16"/>
  <c r="J64" i="16"/>
  <c r="J34" i="16"/>
  <c r="E64" i="16"/>
  <c r="I19" i="31"/>
  <c r="C20" i="14" s="1"/>
  <c r="J56" i="16"/>
  <c r="K56" i="16" s="1"/>
  <c r="H27" i="16"/>
  <c r="J64" i="15"/>
  <c r="R22" i="31"/>
  <c r="C21" i="15" s="1"/>
  <c r="J21" i="15" s="1"/>
  <c r="J54" i="16"/>
  <c r="AC41" i="31"/>
  <c r="H55" i="15"/>
  <c r="U28" i="31"/>
  <c r="X28" i="31"/>
  <c r="Z28" i="31" s="1"/>
  <c r="AD56" i="31"/>
  <c r="E40" i="15"/>
  <c r="AA14" i="31"/>
  <c r="C15" i="16" s="1"/>
  <c r="J15" i="16" s="1"/>
  <c r="J29" i="16"/>
  <c r="H42" i="15"/>
  <c r="J55" i="15"/>
  <c r="H54" i="16"/>
  <c r="J41" i="15"/>
  <c r="K41" i="15" s="1"/>
  <c r="H65" i="16"/>
  <c r="R34" i="31"/>
  <c r="C32" i="15" s="1"/>
  <c r="AC21" i="31"/>
  <c r="Y92" i="47"/>
  <c r="L28" i="31" s="1"/>
  <c r="J65" i="16"/>
  <c r="S91" i="47"/>
  <c r="E65" i="16"/>
  <c r="K40" i="15"/>
  <c r="I15" i="31"/>
  <c r="C16" i="14" s="1"/>
  <c r="P16" i="14" s="1"/>
  <c r="E30" i="14"/>
  <c r="Z94" i="31"/>
  <c r="AE49" i="31"/>
  <c r="AH61" i="31"/>
  <c r="J19" i="15"/>
  <c r="K19" i="15" s="1"/>
  <c r="K42" i="15"/>
  <c r="P45" i="14"/>
  <c r="J55" i="16"/>
  <c r="C27" i="15"/>
  <c r="E27" i="15" s="1"/>
  <c r="J30" i="14"/>
  <c r="AE91" i="31"/>
  <c r="S90" i="31"/>
  <c r="Q94" i="31"/>
  <c r="K47" i="16"/>
  <c r="E47" i="16"/>
  <c r="J47" i="16"/>
  <c r="H47" i="16"/>
  <c r="AH29" i="31"/>
  <c r="AD57" i="31"/>
  <c r="K27" i="16"/>
  <c r="AD53" i="31"/>
  <c r="AE57" i="31"/>
  <c r="H29" i="16"/>
  <c r="AH66" i="31"/>
  <c r="J51" i="16"/>
  <c r="AC49" i="31"/>
  <c r="AC13" i="31"/>
  <c r="AH53" i="31"/>
  <c r="E63" i="15"/>
  <c r="K63" i="15" s="1"/>
  <c r="AD67" i="31"/>
  <c r="J42" i="15"/>
  <c r="AD65" i="31"/>
  <c r="AA22" i="31"/>
  <c r="C21" i="16" s="1"/>
  <c r="AH11" i="31"/>
  <c r="AD49" i="31"/>
  <c r="J12" i="16"/>
  <c r="K12" i="16" s="1"/>
  <c r="Z21" i="31"/>
  <c r="AB21" i="31" s="1"/>
  <c r="AE46" i="31"/>
  <c r="AH49" i="31"/>
  <c r="P63" i="14"/>
  <c r="P41" i="14"/>
  <c r="J12" i="14"/>
  <c r="J41" i="14"/>
  <c r="K41" i="14" s="1"/>
  <c r="AD64" i="31"/>
  <c r="AH55" i="31"/>
  <c r="K29" i="16"/>
  <c r="U51" i="69"/>
  <c r="S51" i="30"/>
  <c r="M55" i="30"/>
  <c r="L55" i="30"/>
  <c r="O50" i="46"/>
  <c r="K52" i="3" s="1"/>
  <c r="P50" i="46"/>
  <c r="H52" i="3" s="1"/>
  <c r="M50" i="46"/>
  <c r="L50" i="46"/>
  <c r="S28" i="30"/>
  <c r="H51" i="30"/>
  <c r="D53" i="30" s="1"/>
  <c r="C50" i="46"/>
  <c r="G50" i="46"/>
  <c r="F50" i="46"/>
  <c r="E50" i="46"/>
  <c r="G27" i="46"/>
  <c r="C27" i="46"/>
  <c r="E27" i="46"/>
  <c r="F27" i="46"/>
  <c r="P67" i="14"/>
  <c r="E67" i="14"/>
  <c r="P55" i="14"/>
  <c r="R73" i="31"/>
  <c r="C53" i="16"/>
  <c r="E53" i="16" s="1"/>
  <c r="AH13" i="31"/>
  <c r="E12" i="14"/>
  <c r="AE12" i="31"/>
  <c r="C14" i="16"/>
  <c r="H14" i="16" s="1"/>
  <c r="AD54" i="31"/>
  <c r="H14" i="31"/>
  <c r="J14" i="31" s="1"/>
  <c r="AD12" i="31"/>
  <c r="E55" i="14"/>
  <c r="K55" i="14" s="1"/>
  <c r="P13" i="14"/>
  <c r="P47" i="14"/>
  <c r="E47" i="14"/>
  <c r="K47" i="14" s="1"/>
  <c r="K55" i="16"/>
  <c r="J45" i="16"/>
  <c r="K45" i="16" s="1"/>
  <c r="AH67" i="31"/>
  <c r="AH44" i="31"/>
  <c r="AC57" i="31"/>
  <c r="AC26" i="31"/>
  <c r="AD55" i="31"/>
  <c r="AC44" i="31"/>
  <c r="E55" i="16"/>
  <c r="AH57" i="31"/>
  <c r="AH26" i="31"/>
  <c r="AH59" i="31"/>
  <c r="AC64" i="31"/>
  <c r="AD66" i="31"/>
  <c r="E15" i="14"/>
  <c r="K15" i="14" s="1"/>
  <c r="AD13" i="31"/>
  <c r="H22" i="16"/>
  <c r="E22" i="16"/>
  <c r="E11" i="16"/>
  <c r="H11" i="16"/>
  <c r="J11" i="16"/>
  <c r="K11" i="16"/>
  <c r="K22" i="16"/>
  <c r="P14" i="14"/>
  <c r="J68" i="14"/>
  <c r="K68" i="14" s="1"/>
  <c r="AC12" i="31"/>
  <c r="J46" i="14"/>
  <c r="K46" i="14" s="1"/>
  <c r="H44" i="16"/>
  <c r="E44" i="16"/>
  <c r="J44" i="16"/>
  <c r="K44" i="16"/>
  <c r="R23" i="31"/>
  <c r="N23" i="31"/>
  <c r="S23" i="31" s="1"/>
  <c r="AH46" i="31"/>
  <c r="AC46" i="31"/>
  <c r="C44" i="15"/>
  <c r="P46" i="14"/>
  <c r="J14" i="14"/>
  <c r="K14" i="14" s="1"/>
  <c r="E63" i="14"/>
  <c r="K63" i="14" s="1"/>
  <c r="AC60" i="31"/>
  <c r="C13" i="16"/>
  <c r="P15" i="14"/>
  <c r="AH36" i="31"/>
  <c r="AC36" i="31"/>
  <c r="C34" i="15"/>
  <c r="I21" i="31"/>
  <c r="AD46" i="31"/>
  <c r="J14" i="15"/>
  <c r="K14" i="15"/>
  <c r="H14" i="15"/>
  <c r="J57" i="16"/>
  <c r="K57" i="16" s="1"/>
  <c r="AD60" i="31"/>
  <c r="C60" i="14"/>
  <c r="AH12" i="31"/>
  <c r="E52" i="15"/>
  <c r="K52" i="15" s="1"/>
  <c r="AA34" i="31"/>
  <c r="C32" i="16" s="1"/>
  <c r="J32" i="16" s="1"/>
  <c r="AD39" i="31"/>
  <c r="C58" i="16"/>
  <c r="H58" i="16" s="1"/>
  <c r="H40" i="15"/>
  <c r="N94" i="31"/>
  <c r="N14" i="31"/>
  <c r="S14" i="31" s="1"/>
  <c r="R14" i="31"/>
  <c r="H67" i="14"/>
  <c r="J67" i="14"/>
  <c r="K67" i="14"/>
  <c r="AC11" i="31"/>
  <c r="AC31" i="31"/>
  <c r="C29" i="15"/>
  <c r="AH31" i="31"/>
  <c r="AD31" i="31"/>
  <c r="K59" i="16"/>
  <c r="E59" i="16"/>
  <c r="J59" i="16"/>
  <c r="C11" i="15"/>
  <c r="AH10" i="31"/>
  <c r="AC10" i="31"/>
  <c r="P68" i="14"/>
  <c r="E14" i="15"/>
  <c r="AC61" i="31"/>
  <c r="AD11" i="31"/>
  <c r="AB34" i="31"/>
  <c r="AD63" i="31"/>
  <c r="J22" i="16"/>
  <c r="AE62" i="31"/>
  <c r="E17" i="31"/>
  <c r="J17" i="31" s="1"/>
  <c r="I17" i="31"/>
  <c r="C18" i="14" s="1"/>
  <c r="I23" i="31"/>
  <c r="AD41" i="31"/>
  <c r="E37" i="15"/>
  <c r="J37" i="15"/>
  <c r="J89" i="31"/>
  <c r="C57" i="15"/>
  <c r="J57" i="15" s="1"/>
  <c r="AD59" i="31"/>
  <c r="AC59" i="31"/>
  <c r="AH54" i="31"/>
  <c r="AC54" i="31"/>
  <c r="C53" i="14"/>
  <c r="P53" i="14" s="1"/>
  <c r="AC65" i="31"/>
  <c r="AH65" i="31"/>
  <c r="E48" i="16"/>
  <c r="K48" i="16" s="1"/>
  <c r="AH63" i="31"/>
  <c r="E60" i="16"/>
  <c r="J60" i="16"/>
  <c r="J45" i="14"/>
  <c r="E45" i="14"/>
  <c r="AA18" i="31"/>
  <c r="AD18" i="31" s="1"/>
  <c r="Z18" i="31"/>
  <c r="J13" i="14"/>
  <c r="E13" i="14"/>
  <c r="AD10" i="31"/>
  <c r="C11" i="14"/>
  <c r="H20" i="31"/>
  <c r="J20" i="31" s="1"/>
  <c r="AE20" i="31" s="1"/>
  <c r="I20" i="31"/>
  <c r="C21" i="14" s="1"/>
  <c r="AA15" i="31"/>
  <c r="C16" i="16" s="1"/>
  <c r="E16" i="16" s="1"/>
  <c r="Z15" i="31"/>
  <c r="AB15" i="31" s="1"/>
  <c r="AD36" i="31"/>
  <c r="C36" i="14"/>
  <c r="I34" i="31"/>
  <c r="C34" i="14" s="1"/>
  <c r="P34" i="14" s="1"/>
  <c r="H34" i="31"/>
  <c r="J34" i="31" s="1"/>
  <c r="J59" i="14"/>
  <c r="E59" i="14"/>
  <c r="AC55" i="31"/>
  <c r="C53" i="15"/>
  <c r="C56" i="15"/>
  <c r="AH58" i="31"/>
  <c r="AC58" i="31"/>
  <c r="J52" i="16"/>
  <c r="E52" i="16"/>
  <c r="E66" i="14"/>
  <c r="J66" i="14"/>
  <c r="E28" i="15"/>
  <c r="J28" i="15"/>
  <c r="J50" i="14"/>
  <c r="E50" i="14"/>
  <c r="I72" i="31"/>
  <c r="C72" i="14" s="1"/>
  <c r="P72" i="14" s="1"/>
  <c r="H73" i="31"/>
  <c r="J73" i="31" s="1"/>
  <c r="I73" i="31"/>
  <c r="C73" i="14" s="1"/>
  <c r="AD29" i="31"/>
  <c r="P29" i="14"/>
  <c r="J29" i="14"/>
  <c r="E29" i="14"/>
  <c r="J61" i="16"/>
  <c r="E61" i="16"/>
  <c r="AC63" i="31"/>
  <c r="C60" i="15"/>
  <c r="AC62" i="31"/>
  <c r="AH62" i="31"/>
  <c r="AD61" i="31"/>
  <c r="C61" i="14"/>
  <c r="J43" i="14"/>
  <c r="E43" i="14"/>
  <c r="C44" i="14"/>
  <c r="AD44" i="31"/>
  <c r="E24" i="15"/>
  <c r="J24" i="15"/>
  <c r="Q19" i="31"/>
  <c r="S19" i="31" s="1"/>
  <c r="R19" i="31"/>
  <c r="Z17" i="31"/>
  <c r="AA17" i="31"/>
  <c r="I16" i="31"/>
  <c r="C17" i="14" s="1"/>
  <c r="H16" i="31"/>
  <c r="P70" i="44"/>
  <c r="P55" i="44"/>
  <c r="P61" i="44"/>
  <c r="P64" i="44"/>
  <c r="F25" i="5"/>
  <c r="K26" i="3" s="1"/>
  <c r="P62" i="44"/>
  <c r="P65" i="44"/>
  <c r="C66" i="27"/>
  <c r="D68" i="27" s="1"/>
  <c r="Q37" i="69" s="1"/>
  <c r="P36" i="44"/>
  <c r="P29" i="44"/>
  <c r="P28" i="44"/>
  <c r="P26" i="44"/>
  <c r="P12" i="44"/>
  <c r="P11" i="44"/>
  <c r="F71" i="5"/>
  <c r="K36" i="3" s="1"/>
  <c r="L36" i="3" s="1"/>
  <c r="P27" i="44"/>
  <c r="P38" i="44"/>
  <c r="P10" i="44"/>
  <c r="F47" i="5"/>
  <c r="Q15" i="25" s="1"/>
  <c r="P60" i="39"/>
  <c r="Q64" i="39" s="1"/>
  <c r="P61" i="39"/>
  <c r="J24" i="39"/>
  <c r="P47" i="12"/>
  <c r="Q47" i="12" s="1"/>
  <c r="C39" i="3"/>
  <c r="K57" i="69"/>
  <c r="N37" i="3"/>
  <c r="K28" i="2"/>
  <c r="P19" i="2"/>
  <c r="O56" i="12"/>
  <c r="K28" i="69"/>
  <c r="K80" i="69"/>
  <c r="K52" i="69"/>
  <c r="N27" i="3"/>
  <c r="F47" i="2"/>
  <c r="J47" i="2" s="1"/>
  <c r="L96" i="69"/>
  <c r="L96" i="2"/>
  <c r="M97" i="12"/>
  <c r="N97" i="3"/>
  <c r="N53" i="3"/>
  <c r="K80" i="2"/>
  <c r="G97" i="12"/>
  <c r="D95" i="13" s="1"/>
  <c r="J95" i="13" s="1"/>
  <c r="M27" i="12"/>
  <c r="M26" i="2" s="1"/>
  <c r="N80" i="3"/>
  <c r="F52" i="2"/>
  <c r="J52" i="2" s="1"/>
  <c r="K79" i="2"/>
  <c r="K36" i="2"/>
  <c r="D35" i="12"/>
  <c r="J35" i="12" s="1"/>
  <c r="J27" i="12"/>
  <c r="L26" i="2" s="1"/>
  <c r="K26" i="69"/>
  <c r="K26" i="2"/>
  <c r="AE83" i="31"/>
  <c r="AF84" i="31" s="1"/>
  <c r="F76" i="2"/>
  <c r="K55" i="69"/>
  <c r="K55" i="2"/>
  <c r="G53" i="12"/>
  <c r="J53" i="12"/>
  <c r="M53" i="12"/>
  <c r="L55" i="69"/>
  <c r="L55" i="2"/>
  <c r="N56" i="3"/>
  <c r="O103" i="4"/>
  <c r="O116" i="4" s="1"/>
  <c r="O118" i="4" s="1"/>
  <c r="R148" i="68"/>
  <c r="Z218" i="68"/>
  <c r="AB218" i="68" s="1"/>
  <c r="R80" i="68"/>
  <c r="T80" i="68"/>
  <c r="Z80" i="68" s="1"/>
  <c r="T259" i="68"/>
  <c r="Z259" i="68" s="1"/>
  <c r="AB259" i="68" s="1"/>
  <c r="R95" i="68"/>
  <c r="T95" i="68"/>
  <c r="Z95" i="68" s="1"/>
  <c r="AB95" i="68" s="1"/>
  <c r="T249" i="68"/>
  <c r="Z249" i="68" s="1"/>
  <c r="AA249" i="68" s="1"/>
  <c r="Z15" i="68"/>
  <c r="AA15" i="68" s="1"/>
  <c r="R92" i="68"/>
  <c r="R215" i="68"/>
  <c r="T215" i="68"/>
  <c r="Z215" i="68" s="1"/>
  <c r="R85" i="68"/>
  <c r="T85" i="68"/>
  <c r="Z85" i="68" s="1"/>
  <c r="T83" i="68"/>
  <c r="Z83" i="68" s="1"/>
  <c r="R83" i="68"/>
  <c r="T97" i="68"/>
  <c r="Z97" i="68" s="1"/>
  <c r="AB97" i="68" s="1"/>
  <c r="R97" i="68"/>
  <c r="R110" i="68"/>
  <c r="T110" i="68"/>
  <c r="Z110" i="68" s="1"/>
  <c r="AB110" i="68" s="1"/>
  <c r="R251" i="68"/>
  <c r="R220" i="68"/>
  <c r="T220" i="68"/>
  <c r="Z220" i="68" s="1"/>
  <c r="AB220" i="68" s="1"/>
  <c r="R257" i="68"/>
  <c r="T257" i="68"/>
  <c r="Z257" i="68" s="1"/>
  <c r="Z138" i="68"/>
  <c r="AB138" i="68" s="1"/>
  <c r="R338" i="68"/>
  <c r="AK338" i="68" s="1"/>
  <c r="AL338" i="68" s="1"/>
  <c r="T338" i="68"/>
  <c r="Z338" i="68" s="1"/>
  <c r="R281" i="68"/>
  <c r="R285" i="68" s="1"/>
  <c r="T281" i="68"/>
  <c r="T256" i="68"/>
  <c r="Z256" i="68" s="1"/>
  <c r="R256" i="68"/>
  <c r="T252" i="68"/>
  <c r="Z252" i="68" s="1"/>
  <c r="R252" i="68"/>
  <c r="R289" i="68"/>
  <c r="T289" i="68"/>
  <c r="Z289" i="68" s="1"/>
  <c r="AA289" i="68" s="1"/>
  <c r="R172" i="68"/>
  <c r="T172" i="68"/>
  <c r="Z172" i="68" s="1"/>
  <c r="T255" i="68"/>
  <c r="Z255" i="68" s="1"/>
  <c r="R255" i="68"/>
  <c r="R246" i="68"/>
  <c r="T246" i="68"/>
  <c r="Z246" i="68" s="1"/>
  <c r="AB246" i="68" s="1"/>
  <c r="R23" i="68"/>
  <c r="V23" i="68" s="1"/>
  <c r="W23" i="68" s="1"/>
  <c r="Y23" i="68" s="1"/>
  <c r="T23" i="68"/>
  <c r="R336" i="68"/>
  <c r="T336" i="68"/>
  <c r="Z336" i="68" s="1"/>
  <c r="R111" i="68"/>
  <c r="T111" i="68"/>
  <c r="Z111" i="68" s="1"/>
  <c r="AB111" i="68" s="1"/>
  <c r="T261" i="68"/>
  <c r="Z261" i="68" s="1"/>
  <c r="AB261" i="68" s="1"/>
  <c r="R261" i="68"/>
  <c r="T294" i="68"/>
  <c r="Z294" i="68" s="1"/>
  <c r="R294" i="68"/>
  <c r="T94" i="68"/>
  <c r="Z94" i="68" s="1"/>
  <c r="R94" i="68"/>
  <c r="T106" i="68"/>
  <c r="Z106" i="68" s="1"/>
  <c r="R106" i="68"/>
  <c r="T300" i="68"/>
  <c r="Z300" i="68" s="1"/>
  <c r="R300" i="68"/>
  <c r="T295" i="68"/>
  <c r="Z295" i="68" s="1"/>
  <c r="R295" i="68"/>
  <c r="T143" i="68"/>
  <c r="Z143" i="68" s="1"/>
  <c r="R143" i="68"/>
  <c r="R306" i="68"/>
  <c r="V306" i="68" s="1"/>
  <c r="W306" i="68" s="1"/>
  <c r="Y306" i="68" s="1"/>
  <c r="T306" i="68"/>
  <c r="R320" i="68"/>
  <c r="R325" i="68" s="1"/>
  <c r="R356" i="68" s="1"/>
  <c r="T320" i="68"/>
  <c r="Z320" i="68" s="1"/>
  <c r="AA320" i="68" s="1"/>
  <c r="T237" i="68"/>
  <c r="Z237" i="68" s="1"/>
  <c r="R237" i="68"/>
  <c r="T144" i="68"/>
  <c r="Z144" i="68" s="1"/>
  <c r="R144" i="68"/>
  <c r="T179" i="68"/>
  <c r="Z179" i="68" s="1"/>
  <c r="R179" i="68"/>
  <c r="T133" i="68"/>
  <c r="Z133" i="68" s="1"/>
  <c r="R133" i="68"/>
  <c r="R84" i="68"/>
  <c r="T84" i="68"/>
  <c r="Z84" i="68" s="1"/>
  <c r="R64" i="68"/>
  <c r="V64" i="68" s="1"/>
  <c r="W64" i="68" s="1"/>
  <c r="Y64" i="68" s="1"/>
  <c r="Z64" i="68" s="1"/>
  <c r="AB64" i="68" s="1"/>
  <c r="R145" i="68"/>
  <c r="T145" i="68"/>
  <c r="Z145" i="68" s="1"/>
  <c r="T217" i="68"/>
  <c r="Z217" i="68" s="1"/>
  <c r="AB217" i="68" s="1"/>
  <c r="R217" i="68"/>
  <c r="R132" i="68"/>
  <c r="T132" i="68"/>
  <c r="Z132" i="68" s="1"/>
  <c r="T109" i="68"/>
  <c r="Z109" i="68" s="1"/>
  <c r="R109" i="68"/>
  <c r="T178" i="68"/>
  <c r="Z178" i="68" s="1"/>
  <c r="AB178" i="68" s="1"/>
  <c r="R52" i="68"/>
  <c r="V52" i="68" s="1"/>
  <c r="W52" i="68" s="1"/>
  <c r="Y52" i="68" s="1"/>
  <c r="T52" i="68"/>
  <c r="T236" i="68"/>
  <c r="Z236" i="68" s="1"/>
  <c r="R236" i="68"/>
  <c r="T125" i="68"/>
  <c r="Z125" i="68" s="1"/>
  <c r="R125" i="68"/>
  <c r="R339" i="68"/>
  <c r="AK339" i="68" s="1"/>
  <c r="AL339" i="68" s="1"/>
  <c r="T339" i="68"/>
  <c r="Z339" i="68" s="1"/>
  <c r="T291" i="68"/>
  <c r="Z291" i="68" s="1"/>
  <c r="AB291" i="68" s="1"/>
  <c r="R291" i="68"/>
  <c r="R292" i="68"/>
  <c r="T292" i="68"/>
  <c r="Z292" i="68" s="1"/>
  <c r="R242" i="68"/>
  <c r="T242" i="68"/>
  <c r="Z242" i="68" s="1"/>
  <c r="T290" i="68"/>
  <c r="Z290" i="68" s="1"/>
  <c r="R290" i="68"/>
  <c r="T131" i="68"/>
  <c r="Z131" i="68" s="1"/>
  <c r="R131" i="68"/>
  <c r="R79" i="68"/>
  <c r="T112" i="68"/>
  <c r="Z112" i="68" s="1"/>
  <c r="AB112" i="68" s="1"/>
  <c r="AA208" i="68"/>
  <c r="T81" i="68"/>
  <c r="Z81" i="68" s="1"/>
  <c r="R81" i="68"/>
  <c r="T216" i="68"/>
  <c r="Z216" i="68" s="1"/>
  <c r="AB216" i="68" s="1"/>
  <c r="R216" i="68"/>
  <c r="T268" i="68"/>
  <c r="Z268" i="68" s="1"/>
  <c r="R268" i="68"/>
  <c r="T105" i="68"/>
  <c r="Z105" i="68" s="1"/>
  <c r="R105" i="68"/>
  <c r="R142" i="68"/>
  <c r="T142" i="68"/>
  <c r="Z142" i="68" s="1"/>
  <c r="AB142" i="68" s="1"/>
  <c r="R146" i="68"/>
  <c r="T146" i="68"/>
  <c r="Z146" i="68" s="1"/>
  <c r="E28" i="31"/>
  <c r="T73" i="68"/>
  <c r="R73" i="68"/>
  <c r="W274" i="68"/>
  <c r="V277" i="68"/>
  <c r="AD43" i="47"/>
  <c r="AE91" i="47"/>
  <c r="F28" i="31" s="1"/>
  <c r="H28" i="31" s="1"/>
  <c r="N16" i="31"/>
  <c r="S16" i="31" s="1"/>
  <c r="R16" i="31"/>
  <c r="P74" i="39"/>
  <c r="Q78" i="39" s="1"/>
  <c r="E77" i="39"/>
  <c r="P75" i="39" s="1"/>
  <c r="U53" i="69"/>
  <c r="K53" i="24"/>
  <c r="O74" i="39"/>
  <c r="F77" i="39"/>
  <c r="Q39" i="39"/>
  <c r="Q47" i="39" s="1"/>
  <c r="Q51" i="39" s="1"/>
  <c r="G62" i="39"/>
  <c r="C77" i="39"/>
  <c r="D77" i="39" s="1"/>
  <c r="D62" i="39"/>
  <c r="K42" i="14"/>
  <c r="J42" i="14"/>
  <c r="H42" i="14"/>
  <c r="E42" i="14"/>
  <c r="V18" i="69"/>
  <c r="T18" i="69"/>
  <c r="R18" i="69"/>
  <c r="P19" i="14"/>
  <c r="J19" i="14"/>
  <c r="E19" i="14"/>
  <c r="K19" i="14" s="1"/>
  <c r="L18" i="3"/>
  <c r="I18" i="3"/>
  <c r="F18" i="3"/>
  <c r="C45" i="15"/>
  <c r="AD47" i="31"/>
  <c r="AC47" i="31"/>
  <c r="AH47" i="31"/>
  <c r="D29" i="12"/>
  <c r="N29" i="3"/>
  <c r="K64" i="14"/>
  <c r="E64" i="14"/>
  <c r="J64" i="14"/>
  <c r="H64" i="14"/>
  <c r="I17" i="3"/>
  <c r="F17" i="3"/>
  <c r="L17" i="3"/>
  <c r="AD58" i="31"/>
  <c r="C58" i="14"/>
  <c r="M32" i="30"/>
  <c r="H32" i="5"/>
  <c r="D45" i="5"/>
  <c r="D47" i="5" s="1"/>
  <c r="H56" i="5"/>
  <c r="D69" i="5"/>
  <c r="D71" i="5" s="1"/>
  <c r="H10" i="5"/>
  <c r="D23" i="5"/>
  <c r="D25" i="5" s="1"/>
  <c r="R305" i="68"/>
  <c r="V305" i="68" s="1"/>
  <c r="T305" i="68"/>
  <c r="W73" i="68"/>
  <c r="R147" i="68"/>
  <c r="T147" i="68"/>
  <c r="Z147" i="68" s="1"/>
  <c r="Y335" i="68"/>
  <c r="J64" i="46"/>
  <c r="A88" i="46"/>
  <c r="J88" i="46" s="1"/>
  <c r="J59" i="46"/>
  <c r="A83" i="46"/>
  <c r="J83" i="46" s="1"/>
  <c r="P19" i="44"/>
  <c r="P21" i="44"/>
  <c r="J58" i="46"/>
  <c r="A82" i="46"/>
  <c r="J82" i="46" s="1"/>
  <c r="E63" i="16"/>
  <c r="J63" i="16"/>
  <c r="L19" i="3"/>
  <c r="F19" i="3"/>
  <c r="I19" i="3"/>
  <c r="C23" i="14"/>
  <c r="V19" i="69"/>
  <c r="T19" i="69"/>
  <c r="R19" i="69"/>
  <c r="Q53" i="38"/>
  <c r="Q55" i="38" s="1"/>
  <c r="I32" i="10"/>
  <c r="I36" i="10" s="1"/>
  <c r="AF96" i="31"/>
  <c r="P53" i="38"/>
  <c r="P55" i="38" s="1"/>
  <c r="E46" i="16"/>
  <c r="J46" i="16"/>
  <c r="E24" i="16"/>
  <c r="J24" i="16"/>
  <c r="AD48" i="31"/>
  <c r="C48" i="14"/>
  <c r="Q28" i="30"/>
  <c r="O30" i="30" s="1"/>
  <c r="T299" i="68"/>
  <c r="R299" i="68"/>
  <c r="V299" i="68" s="1"/>
  <c r="W299" i="68" s="1"/>
  <c r="Y299" i="68" s="1"/>
  <c r="R20" i="68"/>
  <c r="V20" i="68" s="1"/>
  <c r="W20" i="68" s="1"/>
  <c r="Y20" i="68" s="1"/>
  <c r="T20" i="68"/>
  <c r="Z341" i="68"/>
  <c r="Z149" i="68"/>
  <c r="AB149" i="68" s="1"/>
  <c r="W214" i="68"/>
  <c r="V233" i="68"/>
  <c r="R45" i="47"/>
  <c r="S93" i="47"/>
  <c r="L27" i="46"/>
  <c r="O27" i="46"/>
  <c r="K54" i="3" s="1"/>
  <c r="P27" i="46"/>
  <c r="H54" i="3" s="1"/>
  <c r="Q37" i="31"/>
  <c r="S37" i="31" s="1"/>
  <c r="R37" i="31"/>
  <c r="D97" i="46"/>
  <c r="P18" i="44"/>
  <c r="Q27" i="31"/>
  <c r="R27" i="31"/>
  <c r="P44" i="44"/>
  <c r="P43" i="44"/>
  <c r="P47" i="44"/>
  <c r="P46" i="44"/>
  <c r="M27" i="46"/>
  <c r="D30" i="39"/>
  <c r="E37" i="33"/>
  <c r="G37" i="33" s="1"/>
  <c r="H19" i="9" s="1"/>
  <c r="C48" i="15"/>
  <c r="AH50" i="31"/>
  <c r="AD50" i="31"/>
  <c r="AC50" i="31"/>
  <c r="AH48" i="31"/>
  <c r="C46" i="15"/>
  <c r="AC48" i="31"/>
  <c r="P9" i="44"/>
  <c r="AE10" i="31"/>
  <c r="E39" i="15"/>
  <c r="J39" i="15"/>
  <c r="C48" i="3"/>
  <c r="J19" i="31"/>
  <c r="I20" i="3"/>
  <c r="F20" i="3"/>
  <c r="L20" i="3"/>
  <c r="L32" i="30"/>
  <c r="E49" i="14"/>
  <c r="J49" i="14"/>
  <c r="D69" i="25"/>
  <c r="D127" i="7"/>
  <c r="C37" i="16"/>
  <c r="AH39" i="31"/>
  <c r="AC39" i="31"/>
  <c r="G63" i="36"/>
  <c r="H48" i="9" s="1"/>
  <c r="AH68" i="31"/>
  <c r="C65" i="15"/>
  <c r="AC68" i="31"/>
  <c r="AD68" i="31"/>
  <c r="X92" i="37"/>
  <c r="F79" i="3"/>
  <c r="I79" i="3"/>
  <c r="L79" i="3"/>
  <c r="D42" i="40"/>
  <c r="F94" i="2"/>
  <c r="J69" i="46"/>
  <c r="A93" i="46"/>
  <c r="J93" i="46" s="1"/>
  <c r="C26" i="14"/>
  <c r="AD26" i="31"/>
  <c r="K45" i="3"/>
  <c r="O43" i="3"/>
  <c r="P43" i="3" s="1"/>
  <c r="E47" i="5"/>
  <c r="P15" i="25" s="1"/>
  <c r="H76" i="69"/>
  <c r="I76" i="69" s="1"/>
  <c r="H76" i="2"/>
  <c r="K12" i="15"/>
  <c r="H12" i="15"/>
  <c r="E12" i="15"/>
  <c r="J12" i="15"/>
  <c r="H42" i="16"/>
  <c r="K42" i="16"/>
  <c r="J42" i="16"/>
  <c r="E42" i="16"/>
  <c r="J40" i="14"/>
  <c r="E40" i="14"/>
  <c r="L32" i="3"/>
  <c r="I32" i="3"/>
  <c r="F32" i="3"/>
  <c r="E11" i="69"/>
  <c r="C21" i="69"/>
  <c r="I89" i="3"/>
  <c r="L89" i="3"/>
  <c r="F89" i="3"/>
  <c r="J61" i="46"/>
  <c r="A85" i="46"/>
  <c r="J85" i="46" s="1"/>
  <c r="U15" i="45"/>
  <c r="U18" i="45"/>
  <c r="U17" i="45"/>
  <c r="U16" i="45"/>
  <c r="E25" i="69"/>
  <c r="I25" i="69" s="1"/>
  <c r="C26" i="3" s="1"/>
  <c r="C102" i="69"/>
  <c r="F97" i="46"/>
  <c r="E97" i="46"/>
  <c r="F19" i="24"/>
  <c r="L19" i="24"/>
  <c r="I19" i="24"/>
  <c r="C18" i="21"/>
  <c r="T214" i="68"/>
  <c r="R214" i="68"/>
  <c r="T206" i="68"/>
  <c r="R206" i="68"/>
  <c r="R93" i="47"/>
  <c r="E37" i="31"/>
  <c r="J37" i="31" s="1"/>
  <c r="I37" i="31"/>
  <c r="AE92" i="47"/>
  <c r="O28" i="31" s="1"/>
  <c r="Q28" i="31" s="1"/>
  <c r="J67" i="46"/>
  <c r="A91" i="46"/>
  <c r="J91" i="46" s="1"/>
  <c r="J66" i="46"/>
  <c r="A90" i="46"/>
  <c r="J90" i="46" s="1"/>
  <c r="E13" i="25"/>
  <c r="E59" i="25"/>
  <c r="C41" i="16"/>
  <c r="AD43" i="31"/>
  <c r="AC43" i="31"/>
  <c r="AH43" i="31"/>
  <c r="H58" i="69"/>
  <c r="I58" i="69" s="1"/>
  <c r="C59" i="3" s="1"/>
  <c r="H58" i="2"/>
  <c r="J58" i="2" s="1"/>
  <c r="E39" i="14"/>
  <c r="J39" i="14"/>
  <c r="J38" i="16"/>
  <c r="E38" i="16"/>
  <c r="G97" i="46"/>
  <c r="L50" i="3"/>
  <c r="F50" i="3"/>
  <c r="I50" i="3"/>
  <c r="X25" i="8"/>
  <c r="AH40" i="31"/>
  <c r="C38" i="15"/>
  <c r="AC40" i="31"/>
  <c r="D85" i="25"/>
  <c r="E71" i="5"/>
  <c r="L34" i="3"/>
  <c r="F34" i="3"/>
  <c r="D34" i="12" s="1"/>
  <c r="I34" i="3"/>
  <c r="I11" i="10"/>
  <c r="R303" i="68"/>
  <c r="V303" i="68" s="1"/>
  <c r="W303" i="68" s="1"/>
  <c r="Y303" i="68" s="1"/>
  <c r="T303" i="68"/>
  <c r="Z117" i="68"/>
  <c r="AB117" i="68" s="1"/>
  <c r="R168" i="68"/>
  <c r="T168" i="68"/>
  <c r="Z168" i="68" s="1"/>
  <c r="R41" i="47"/>
  <c r="S92" i="47"/>
  <c r="X91" i="47"/>
  <c r="C27" i="31" s="1"/>
  <c r="C28" i="37" s="1"/>
  <c r="Z98" i="68"/>
  <c r="AB98" i="68" s="1"/>
  <c r="Q51" i="69"/>
  <c r="E51" i="24"/>
  <c r="N52" i="46"/>
  <c r="O15" i="31"/>
  <c r="J60" i="46"/>
  <c r="A84" i="46"/>
  <c r="J84" i="46" s="1"/>
  <c r="J68" i="46"/>
  <c r="A92" i="46"/>
  <c r="J92" i="46" s="1"/>
  <c r="I20" i="45"/>
  <c r="O24" i="39"/>
  <c r="N30" i="39"/>
  <c r="O30" i="39" s="1"/>
  <c r="J63" i="46"/>
  <c r="A87" i="46"/>
  <c r="J87" i="46" s="1"/>
  <c r="D73" i="46"/>
  <c r="G73" i="46"/>
  <c r="F73" i="46"/>
  <c r="C73" i="46"/>
  <c r="Q53" i="69"/>
  <c r="E53" i="24"/>
  <c r="N29" i="46"/>
  <c r="J62" i="46"/>
  <c r="A86" i="46"/>
  <c r="J86" i="46" s="1"/>
  <c r="G17" i="45"/>
  <c r="G16" i="45"/>
  <c r="G15" i="45"/>
  <c r="D24" i="39"/>
  <c r="O60" i="39"/>
  <c r="P39" i="39"/>
  <c r="P47" i="39" s="1"/>
  <c r="P51" i="39" s="1"/>
  <c r="P42" i="14"/>
  <c r="C28" i="16"/>
  <c r="AH30" i="31"/>
  <c r="AD30" i="31"/>
  <c r="AC30" i="31"/>
  <c r="H13" i="15"/>
  <c r="E13" i="15"/>
  <c r="J13" i="15"/>
  <c r="K13" i="15"/>
  <c r="E73" i="46"/>
  <c r="K51" i="15"/>
  <c r="E51" i="15"/>
  <c r="J51" i="15"/>
  <c r="H51" i="15"/>
  <c r="E56" i="14"/>
  <c r="J56" i="14"/>
  <c r="H56" i="14"/>
  <c r="K56" i="14"/>
  <c r="C14" i="3"/>
  <c r="V10" i="25"/>
  <c r="V11" i="25"/>
  <c r="AD40" i="31"/>
  <c r="G16" i="28"/>
  <c r="G25" i="26"/>
  <c r="G29" i="26" s="1"/>
  <c r="C21" i="2"/>
  <c r="C102" i="2"/>
  <c r="F25" i="2"/>
  <c r="J25" i="2" s="1"/>
  <c r="M55" i="69"/>
  <c r="M55" i="2"/>
  <c r="J65" i="46"/>
  <c r="A89" i="46"/>
  <c r="J89" i="46" s="1"/>
  <c r="L55" i="3"/>
  <c r="I55" i="3"/>
  <c r="F55" i="3"/>
  <c r="D45" i="12"/>
  <c r="C39" i="16"/>
  <c r="AH41" i="31"/>
  <c r="N27" i="46"/>
  <c r="U14" i="45"/>
  <c r="AD62" i="31"/>
  <c r="C62" i="14"/>
  <c r="H28" i="30"/>
  <c r="C30" i="30" s="1"/>
  <c r="E54" i="14"/>
  <c r="J54" i="14"/>
  <c r="E65" i="14"/>
  <c r="J65" i="14"/>
  <c r="C30" i="3"/>
  <c r="R39" i="39"/>
  <c r="R47" i="39" s="1"/>
  <c r="R51" i="39" s="1"/>
  <c r="I77" i="39"/>
  <c r="J77" i="39" s="1"/>
  <c r="J62" i="39"/>
  <c r="AH45" i="31"/>
  <c r="C43" i="16"/>
  <c r="AD45" i="31"/>
  <c r="AC45" i="31"/>
  <c r="D76" i="25"/>
  <c r="I79" i="5"/>
  <c r="E25" i="5"/>
  <c r="J56" i="13"/>
  <c r="G56" i="13"/>
  <c r="G27" i="13"/>
  <c r="J27" i="13"/>
  <c r="G37" i="12"/>
  <c r="M37" i="12"/>
  <c r="J37" i="12"/>
  <c r="R22" i="68"/>
  <c r="V22" i="68" s="1"/>
  <c r="W22" i="68" s="1"/>
  <c r="Y22" i="68" s="1"/>
  <c r="T22" i="68"/>
  <c r="W24" i="68"/>
  <c r="T24" i="68"/>
  <c r="C64" i="8" s="1"/>
  <c r="D64" i="8" s="1"/>
  <c r="P36" i="68"/>
  <c r="R24" i="68"/>
  <c r="Q354" i="68" l="1"/>
  <c r="Z23" i="68"/>
  <c r="Z63" i="68"/>
  <c r="AA63" i="68" s="1"/>
  <c r="AA329" i="68"/>
  <c r="W325" i="68"/>
  <c r="D40" i="8"/>
  <c r="H10" i="9"/>
  <c r="H41" i="2" s="1"/>
  <c r="H64" i="69"/>
  <c r="I64" i="69" s="1"/>
  <c r="C65" i="3" s="1"/>
  <c r="K24" i="28"/>
  <c r="K22" i="28"/>
  <c r="G29" i="8"/>
  <c r="G16" i="6"/>
  <c r="X29" i="8"/>
  <c r="H47" i="9"/>
  <c r="H51" i="69" s="1"/>
  <c r="I51" i="69" s="1"/>
  <c r="C52" i="3" s="1"/>
  <c r="J94" i="31"/>
  <c r="E94" i="31"/>
  <c r="AA94" i="31"/>
  <c r="AE11" i="31"/>
  <c r="S27" i="31"/>
  <c r="R94" i="31"/>
  <c r="E74" i="37"/>
  <c r="AH92" i="31"/>
  <c r="S94" i="31"/>
  <c r="I94" i="31"/>
  <c r="AE59" i="31"/>
  <c r="U38" i="37"/>
  <c r="Y38" i="37" s="1"/>
  <c r="U74" i="37"/>
  <c r="Y74" i="37" s="1"/>
  <c r="I13" i="37"/>
  <c r="I62" i="37"/>
  <c r="Q31" i="37"/>
  <c r="I55" i="37"/>
  <c r="AE43" i="31"/>
  <c r="J23" i="15"/>
  <c r="E23" i="15"/>
  <c r="C37" i="29"/>
  <c r="AB94" i="31"/>
  <c r="AE41" i="31"/>
  <c r="I14" i="37"/>
  <c r="AC72" i="31"/>
  <c r="H23" i="15"/>
  <c r="J16" i="31"/>
  <c r="AE16" i="31" s="1"/>
  <c r="AE53" i="31"/>
  <c r="AE29" i="31"/>
  <c r="AE39" i="31"/>
  <c r="AE45" i="31"/>
  <c r="AE92" i="31"/>
  <c r="AH89" i="31"/>
  <c r="J20" i="16"/>
  <c r="K20" i="16" s="1"/>
  <c r="I35" i="37"/>
  <c r="AE22" i="31"/>
  <c r="AE60" i="31"/>
  <c r="U92" i="37"/>
  <c r="Y88" i="37"/>
  <c r="Q27" i="37"/>
  <c r="Q66" i="37"/>
  <c r="Y55" i="37"/>
  <c r="Q54" i="37"/>
  <c r="Q62" i="37"/>
  <c r="Q46" i="37"/>
  <c r="Y14" i="37"/>
  <c r="K70" i="16"/>
  <c r="AE67" i="31"/>
  <c r="AE26" i="31"/>
  <c r="AE55" i="31"/>
  <c r="AB37" i="31"/>
  <c r="AE37" i="31" s="1"/>
  <c r="AB17" i="31"/>
  <c r="AE17" i="31" s="1"/>
  <c r="H70" i="16"/>
  <c r="AH73" i="31"/>
  <c r="E70" i="16"/>
  <c r="AE48" i="31"/>
  <c r="Q56" i="37"/>
  <c r="I42" i="37"/>
  <c r="Q23" i="37"/>
  <c r="AB18" i="31"/>
  <c r="AE18" i="31" s="1"/>
  <c r="C12" i="29"/>
  <c r="I23" i="37"/>
  <c r="Y12" i="37"/>
  <c r="Y27" i="37"/>
  <c r="Y66" i="37"/>
  <c r="I58" i="37"/>
  <c r="AA58" i="37" s="1"/>
  <c r="Q45" i="37"/>
  <c r="I41" i="37"/>
  <c r="AA41" i="37" s="1"/>
  <c r="Q59" i="37"/>
  <c r="Y56" i="37"/>
  <c r="I68" i="37"/>
  <c r="I18" i="37"/>
  <c r="Q20" i="37"/>
  <c r="Y59" i="37"/>
  <c r="I60" i="37"/>
  <c r="Q40" i="37"/>
  <c r="Q50" i="37"/>
  <c r="AE44" i="31"/>
  <c r="AE50" i="31"/>
  <c r="AE63" i="31"/>
  <c r="K46" i="16"/>
  <c r="M53" i="30"/>
  <c r="N32" i="30"/>
  <c r="C77" i="3"/>
  <c r="C82" i="3"/>
  <c r="N145" i="7"/>
  <c r="AA332" i="68"/>
  <c r="V203" i="68"/>
  <c r="W305" i="68"/>
  <c r="Y305" i="68" s="1"/>
  <c r="Y317" i="68" s="1"/>
  <c r="AK305" i="68"/>
  <c r="AL305" i="68" s="1"/>
  <c r="Z201" i="68"/>
  <c r="AA201" i="68" s="1"/>
  <c r="Z20" i="68"/>
  <c r="AA20" i="68" s="1"/>
  <c r="Z19" i="68"/>
  <c r="AA19" i="68" s="1"/>
  <c r="V351" i="68"/>
  <c r="AA126" i="68"/>
  <c r="W351" i="68"/>
  <c r="Z52" i="68"/>
  <c r="AB52" i="68" s="1"/>
  <c r="AB59" i="68" s="1"/>
  <c r="T44" i="68"/>
  <c r="T59" i="68" s="1"/>
  <c r="R59" i="68"/>
  <c r="R270" i="68"/>
  <c r="R317" i="68"/>
  <c r="R203" i="68"/>
  <c r="R351" i="68"/>
  <c r="Y270" i="68"/>
  <c r="P354" i="68"/>
  <c r="AA113" i="68"/>
  <c r="AB169" i="68"/>
  <c r="AA163" i="68"/>
  <c r="V59" i="68"/>
  <c r="T36" i="68"/>
  <c r="R233" i="68"/>
  <c r="R68" i="68"/>
  <c r="Y44" i="68"/>
  <c r="W59" i="68"/>
  <c r="Z305" i="68"/>
  <c r="AA103" i="68"/>
  <c r="AB171" i="68"/>
  <c r="AA153" i="68"/>
  <c r="AB251" i="68"/>
  <c r="AA239" i="68"/>
  <c r="AA86" i="68"/>
  <c r="AB99" i="68"/>
  <c r="W270" i="68"/>
  <c r="AA115" i="68"/>
  <c r="AA221" i="68"/>
  <c r="AA345" i="68"/>
  <c r="AB124" i="68"/>
  <c r="AA224" i="68"/>
  <c r="Y25" i="68"/>
  <c r="AA134" i="68"/>
  <c r="AA225" i="68"/>
  <c r="AA127" i="68"/>
  <c r="AB156" i="68"/>
  <c r="AA207" i="68"/>
  <c r="AB89" i="68"/>
  <c r="AA139" i="68"/>
  <c r="H42" i="69"/>
  <c r="I42" i="69" s="1"/>
  <c r="C43" i="3" s="1"/>
  <c r="H42" i="2"/>
  <c r="J42" i="2" s="1"/>
  <c r="AA330" i="68"/>
  <c r="AA45" i="68"/>
  <c r="AA130" i="68"/>
  <c r="AA90" i="68"/>
  <c r="AA159" i="68"/>
  <c r="AA244" i="68"/>
  <c r="AB122" i="68"/>
  <c r="AA100" i="68"/>
  <c r="AB260" i="68"/>
  <c r="AA302" i="68"/>
  <c r="O53" i="30"/>
  <c r="L53" i="30"/>
  <c r="N53" i="30"/>
  <c r="Y63" i="37"/>
  <c r="I29" i="37"/>
  <c r="I32" i="37"/>
  <c r="Y40" i="37"/>
  <c r="K39" i="14"/>
  <c r="Y31" i="37"/>
  <c r="Q55" i="37"/>
  <c r="Q38" i="37"/>
  <c r="Q63" i="37"/>
  <c r="I66" i="37"/>
  <c r="Y54" i="37"/>
  <c r="Q14" i="37"/>
  <c r="Q48" i="37"/>
  <c r="I43" i="37"/>
  <c r="Y50" i="37"/>
  <c r="V270" i="68"/>
  <c r="AB328" i="68"/>
  <c r="AA258" i="68"/>
  <c r="AB118" i="68"/>
  <c r="AA160" i="68"/>
  <c r="Z22" i="68"/>
  <c r="AB22" i="68" s="1"/>
  <c r="Z303" i="68"/>
  <c r="AA303" i="68" s="1"/>
  <c r="AA291" i="68"/>
  <c r="W68" i="68"/>
  <c r="AA340" i="68"/>
  <c r="AA173" i="68"/>
  <c r="AA49" i="68"/>
  <c r="AA304" i="68"/>
  <c r="AA116" i="68"/>
  <c r="AB211" i="68"/>
  <c r="AB275" i="68"/>
  <c r="V36" i="68"/>
  <c r="Z299" i="68"/>
  <c r="AB299" i="68" s="1"/>
  <c r="AB248" i="68"/>
  <c r="AA26" i="68"/>
  <c r="AA308" i="68"/>
  <c r="AA309" i="68"/>
  <c r="AA176" i="68"/>
  <c r="AB166" i="68"/>
  <c r="AA166" i="68"/>
  <c r="AA121" i="68"/>
  <c r="AA167" i="68"/>
  <c r="AB243" i="68"/>
  <c r="AA88" i="68"/>
  <c r="AB77" i="68"/>
  <c r="AA293" i="68"/>
  <c r="AA129" i="68"/>
  <c r="AB92" i="68"/>
  <c r="AA82" i="68"/>
  <c r="AB343" i="68"/>
  <c r="AA114" i="68"/>
  <c r="Y281" i="68"/>
  <c r="Y285" i="68" s="1"/>
  <c r="AA245" i="68"/>
  <c r="AB164" i="68"/>
  <c r="AB165" i="68"/>
  <c r="AA337" i="68"/>
  <c r="AA161" i="68"/>
  <c r="AB141" i="68"/>
  <c r="K65" i="14"/>
  <c r="AH72" i="31"/>
  <c r="J69" i="15"/>
  <c r="E69" i="15"/>
  <c r="AE61" i="31"/>
  <c r="C10" i="29"/>
  <c r="AE21" i="31"/>
  <c r="E18" i="15"/>
  <c r="K18" i="15" s="1"/>
  <c r="Y47" i="37"/>
  <c r="AA47" i="37" s="1"/>
  <c r="Y64" i="37"/>
  <c r="Q73" i="37"/>
  <c r="Y32" i="37"/>
  <c r="I61" i="37"/>
  <c r="Q13" i="37"/>
  <c r="Y44" i="37"/>
  <c r="I50" i="37"/>
  <c r="Y48" i="37"/>
  <c r="Q24" i="37"/>
  <c r="I45" i="37"/>
  <c r="Y46" i="37"/>
  <c r="Y68" i="37"/>
  <c r="V61" i="37"/>
  <c r="X61" i="37" s="1"/>
  <c r="U61" i="37"/>
  <c r="AB24" i="31"/>
  <c r="I30" i="37"/>
  <c r="AH20" i="31"/>
  <c r="Q61" i="37"/>
  <c r="Q49" i="37"/>
  <c r="N25" i="37"/>
  <c r="P25" i="37" s="1"/>
  <c r="M25" i="37"/>
  <c r="Y37" i="37"/>
  <c r="Q12" i="37"/>
  <c r="F28" i="37"/>
  <c r="H28" i="37" s="1"/>
  <c r="E28" i="37"/>
  <c r="C11" i="29"/>
  <c r="I69" i="37"/>
  <c r="AA69" i="37" s="1"/>
  <c r="AA21" i="37"/>
  <c r="Q32" i="37"/>
  <c r="Q44" i="37"/>
  <c r="Y67" i="37"/>
  <c r="AA67" i="37" s="1"/>
  <c r="U75" i="31"/>
  <c r="S29" i="37"/>
  <c r="I49" i="37"/>
  <c r="Q37" i="37"/>
  <c r="I74" i="37"/>
  <c r="Y45" i="37"/>
  <c r="AA22" i="37"/>
  <c r="Y30" i="37"/>
  <c r="Q65" i="37"/>
  <c r="Q68" i="37"/>
  <c r="AE72" i="31"/>
  <c r="Y60" i="37"/>
  <c r="Q57" i="37"/>
  <c r="AA57" i="37" s="1"/>
  <c r="I48" i="37"/>
  <c r="Y51" i="37"/>
  <c r="AA51" i="37" s="1"/>
  <c r="Q17" i="37"/>
  <c r="I54" i="37"/>
  <c r="I56" i="37"/>
  <c r="Q60" i="37"/>
  <c r="Y49" i="37"/>
  <c r="U25" i="37"/>
  <c r="V25" i="37"/>
  <c r="X25" i="37" s="1"/>
  <c r="I65" i="37"/>
  <c r="Y62" i="37"/>
  <c r="H90" i="37"/>
  <c r="F92" i="37"/>
  <c r="Y23" i="37"/>
  <c r="Q43" i="37"/>
  <c r="U28" i="37"/>
  <c r="V28" i="37"/>
  <c r="X28" i="37" s="1"/>
  <c r="F27" i="8"/>
  <c r="W27" i="8" s="1"/>
  <c r="K28" i="3"/>
  <c r="K33" i="3" s="1"/>
  <c r="L33" i="3" s="1"/>
  <c r="G20" i="45"/>
  <c r="F46" i="27"/>
  <c r="E46" i="27"/>
  <c r="C46" i="27" s="1"/>
  <c r="D25" i="27"/>
  <c r="Q94" i="69" s="1"/>
  <c r="E25" i="27"/>
  <c r="S31" i="69" s="1"/>
  <c r="K25" i="16"/>
  <c r="E62" i="15"/>
  <c r="J16" i="14"/>
  <c r="J62" i="15"/>
  <c r="C20" i="29"/>
  <c r="C35" i="29" s="1"/>
  <c r="H62" i="15"/>
  <c r="AE73" i="31"/>
  <c r="J13" i="16"/>
  <c r="E35" i="16"/>
  <c r="K35" i="16" s="1"/>
  <c r="Q42" i="37"/>
  <c r="I40" i="37"/>
  <c r="I37" i="37"/>
  <c r="Q35" i="37"/>
  <c r="E73" i="37"/>
  <c r="F73" i="37"/>
  <c r="H73" i="37" s="1"/>
  <c r="C76" i="37"/>
  <c r="Q30" i="37"/>
  <c r="Q64" i="37"/>
  <c r="I64" i="37"/>
  <c r="I46" i="37"/>
  <c r="I44" i="37"/>
  <c r="L75" i="31"/>
  <c r="K29" i="37"/>
  <c r="N28" i="37"/>
  <c r="P28" i="37" s="1"/>
  <c r="M28" i="37"/>
  <c r="U19" i="37"/>
  <c r="V19" i="37"/>
  <c r="X19" i="37" s="1"/>
  <c r="E17" i="16"/>
  <c r="K17" i="16" s="1"/>
  <c r="Y16" i="37"/>
  <c r="I12" i="37"/>
  <c r="I11" i="37"/>
  <c r="AA11" i="37" s="1"/>
  <c r="E25" i="37"/>
  <c r="F25" i="37"/>
  <c r="H25" i="37" s="1"/>
  <c r="F24" i="37"/>
  <c r="H24" i="37" s="1"/>
  <c r="E24" i="37"/>
  <c r="V20" i="37"/>
  <c r="X20" i="37" s="1"/>
  <c r="U20" i="37"/>
  <c r="M19" i="37"/>
  <c r="N19" i="37"/>
  <c r="P19" i="37" s="1"/>
  <c r="U18" i="37"/>
  <c r="V18" i="37"/>
  <c r="X18" i="37" s="1"/>
  <c r="N18" i="37"/>
  <c r="P18" i="37" s="1"/>
  <c r="M18" i="37"/>
  <c r="Y17" i="37"/>
  <c r="F17" i="37"/>
  <c r="H17" i="37" s="1"/>
  <c r="E17" i="37"/>
  <c r="E16" i="37"/>
  <c r="F16" i="37"/>
  <c r="U15" i="37"/>
  <c r="V15" i="37"/>
  <c r="P15" i="37"/>
  <c r="I15" i="37"/>
  <c r="S55" i="30"/>
  <c r="N57" i="2"/>
  <c r="P57" i="2" s="1"/>
  <c r="O58" i="12"/>
  <c r="M57" i="69"/>
  <c r="N57" i="69" s="1"/>
  <c r="T57" i="69" s="1"/>
  <c r="AB150" i="68"/>
  <c r="AA150" i="68"/>
  <c r="AA51" i="68"/>
  <c r="AA107" i="68"/>
  <c r="AA223" i="68"/>
  <c r="AA47" i="68"/>
  <c r="AA170" i="68"/>
  <c r="AA210" i="68"/>
  <c r="AA175" i="68"/>
  <c r="AB297" i="68"/>
  <c r="AA119" i="68"/>
  <c r="AA296" i="68"/>
  <c r="AB76" i="68"/>
  <c r="AA27" i="68"/>
  <c r="AA151" i="68"/>
  <c r="AA152" i="68"/>
  <c r="AA120" i="68"/>
  <c r="AB342" i="68"/>
  <c r="E86" i="2"/>
  <c r="F86" i="2" s="1"/>
  <c r="AA148" i="68"/>
  <c r="AA241" i="68"/>
  <c r="AA181" i="68"/>
  <c r="AA91" i="68"/>
  <c r="Y68" i="68"/>
  <c r="AA16" i="68"/>
  <c r="AA87" i="68"/>
  <c r="AA138" i="68"/>
  <c r="AA140" i="68"/>
  <c r="AA250" i="68"/>
  <c r="AA154" i="68"/>
  <c r="AA74" i="68"/>
  <c r="AA298" i="68"/>
  <c r="AA93" i="68"/>
  <c r="AA128" i="68"/>
  <c r="K16" i="8"/>
  <c r="K12" i="8" s="1"/>
  <c r="K42" i="8" s="1"/>
  <c r="K38" i="8" s="1"/>
  <c r="AA261" i="68"/>
  <c r="AA344" i="68"/>
  <c r="AB249" i="68"/>
  <c r="AA135" i="68"/>
  <c r="AA104" i="68"/>
  <c r="AA78" i="68"/>
  <c r="AA240" i="68"/>
  <c r="AA162" i="68"/>
  <c r="AA246" i="68"/>
  <c r="R277" i="68"/>
  <c r="AB231" i="68"/>
  <c r="AA231" i="68"/>
  <c r="AA75" i="68"/>
  <c r="AA259" i="68"/>
  <c r="AB96" i="68"/>
  <c r="AA253" i="68"/>
  <c r="AA174" i="68"/>
  <c r="AB333" i="68"/>
  <c r="AB157" i="68"/>
  <c r="T351" i="68"/>
  <c r="I23" i="43" s="1"/>
  <c r="J18" i="8" s="1"/>
  <c r="AA155" i="68"/>
  <c r="AB63" i="68"/>
  <c r="V68" i="68"/>
  <c r="AA247" i="68"/>
  <c r="AA177" i="68"/>
  <c r="AA334" i="68"/>
  <c r="AA158" i="68"/>
  <c r="AA101" i="68"/>
  <c r="AA209" i="68"/>
  <c r="AB289" i="68"/>
  <c r="AA180" i="68"/>
  <c r="AA238" i="68"/>
  <c r="AA64" i="68"/>
  <c r="AA68" i="68" s="1"/>
  <c r="AA123" i="68"/>
  <c r="AA71" i="68"/>
  <c r="AA213" i="68"/>
  <c r="AA108" i="68"/>
  <c r="AA331" i="68"/>
  <c r="Z325" i="68"/>
  <c r="T325" i="68"/>
  <c r="L23" i="43" s="1"/>
  <c r="T285" i="68"/>
  <c r="K23" i="43" s="1"/>
  <c r="L18" i="8" s="1"/>
  <c r="L16" i="8" s="1"/>
  <c r="AA222" i="68"/>
  <c r="AA219" i="68"/>
  <c r="AA136" i="68"/>
  <c r="AA142" i="68"/>
  <c r="AA349" i="68"/>
  <c r="AA102" i="68"/>
  <c r="AA79" i="68"/>
  <c r="AA315" i="68"/>
  <c r="K78" i="2"/>
  <c r="C13" i="3"/>
  <c r="L13" i="3" s="1"/>
  <c r="U11" i="25"/>
  <c r="M35" i="12"/>
  <c r="M34" i="69" s="1"/>
  <c r="F101" i="3"/>
  <c r="I101" i="3"/>
  <c r="L101" i="3"/>
  <c r="P92" i="37"/>
  <c r="Q88" i="37"/>
  <c r="Q92" i="37" s="1"/>
  <c r="V92" i="37"/>
  <c r="H28" i="3"/>
  <c r="I28" i="3" s="1"/>
  <c r="H92" i="3"/>
  <c r="I92" i="3" s="1"/>
  <c r="K91" i="2" s="1"/>
  <c r="K29" i="6"/>
  <c r="E28" i="3"/>
  <c r="F25" i="8"/>
  <c r="W25" i="8" s="1"/>
  <c r="E92" i="3"/>
  <c r="X15" i="45"/>
  <c r="Q13" i="25" s="1"/>
  <c r="X18" i="45"/>
  <c r="X14" i="45"/>
  <c r="P13" i="25" s="1"/>
  <c r="X17" i="45"/>
  <c r="U20" i="45"/>
  <c r="J25" i="16"/>
  <c r="AA24" i="31"/>
  <c r="AC24" i="31" s="1"/>
  <c r="H25" i="16"/>
  <c r="K12" i="14"/>
  <c r="AB99" i="31"/>
  <c r="AE25" i="31"/>
  <c r="K59" i="14"/>
  <c r="AD25" i="31"/>
  <c r="C21" i="29"/>
  <c r="C36" i="29" s="1"/>
  <c r="AE90" i="31"/>
  <c r="K58" i="16"/>
  <c r="E13" i="16"/>
  <c r="K39" i="15"/>
  <c r="AH99" i="31"/>
  <c r="AC99" i="31"/>
  <c r="AC25" i="31"/>
  <c r="AH25" i="31"/>
  <c r="AC73" i="31"/>
  <c r="C70" i="15"/>
  <c r="H70" i="15" s="1"/>
  <c r="K63" i="16"/>
  <c r="K43" i="14"/>
  <c r="K52" i="16"/>
  <c r="X75" i="31"/>
  <c r="X83" i="31" s="1"/>
  <c r="AE34" i="31"/>
  <c r="K49" i="14"/>
  <c r="AE89" i="31"/>
  <c r="K30" i="14"/>
  <c r="K45" i="14"/>
  <c r="F24" i="31"/>
  <c r="H24" i="31" s="1"/>
  <c r="AD19" i="31"/>
  <c r="E15" i="16"/>
  <c r="K15" i="16" s="1"/>
  <c r="AH34" i="31"/>
  <c r="J72" i="14"/>
  <c r="E32" i="16"/>
  <c r="K32" i="16" s="1"/>
  <c r="H21" i="15"/>
  <c r="K21" i="15"/>
  <c r="E58" i="16"/>
  <c r="E66" i="16" s="1"/>
  <c r="U14" i="21" s="1"/>
  <c r="E21" i="15"/>
  <c r="J53" i="16"/>
  <c r="J58" i="16"/>
  <c r="AC22" i="31"/>
  <c r="E16" i="14"/>
  <c r="J27" i="15"/>
  <c r="K27" i="15" s="1"/>
  <c r="AD22" i="31"/>
  <c r="AH22" i="31"/>
  <c r="N28" i="31"/>
  <c r="N75" i="31" s="1"/>
  <c r="W28" i="31"/>
  <c r="AA28" i="31"/>
  <c r="C26" i="16" s="1"/>
  <c r="AD14" i="31"/>
  <c r="AH14" i="31"/>
  <c r="AE23" i="31"/>
  <c r="AD72" i="31"/>
  <c r="AE14" i="31"/>
  <c r="K14" i="16"/>
  <c r="N55" i="30"/>
  <c r="E52" i="3"/>
  <c r="O52" i="3" s="1"/>
  <c r="P52" i="3" s="1"/>
  <c r="Q50" i="46"/>
  <c r="H97" i="46"/>
  <c r="C53" i="30"/>
  <c r="E53" i="30"/>
  <c r="F53" i="30"/>
  <c r="G53" i="30"/>
  <c r="H50" i="46"/>
  <c r="H27" i="46"/>
  <c r="J14" i="16"/>
  <c r="E14" i="16"/>
  <c r="AH23" i="31"/>
  <c r="AC23" i="31"/>
  <c r="C22" i="15"/>
  <c r="J16" i="16"/>
  <c r="K16" i="16" s="1"/>
  <c r="C15" i="15"/>
  <c r="AC14" i="31"/>
  <c r="C22" i="14"/>
  <c r="AD21" i="31"/>
  <c r="AC34" i="31"/>
  <c r="I28" i="31"/>
  <c r="C28" i="14" s="1"/>
  <c r="H29" i="15"/>
  <c r="K29" i="15"/>
  <c r="J29" i="15"/>
  <c r="E29" i="15"/>
  <c r="E34" i="15"/>
  <c r="K34" i="15"/>
  <c r="H34" i="15"/>
  <c r="J34" i="15"/>
  <c r="E57" i="15"/>
  <c r="K57" i="15" s="1"/>
  <c r="K13" i="14"/>
  <c r="E60" i="14"/>
  <c r="K60" i="14"/>
  <c r="J60" i="14"/>
  <c r="H60" i="14"/>
  <c r="P60" i="14"/>
  <c r="J44" i="15"/>
  <c r="H44" i="15"/>
  <c r="E44" i="15"/>
  <c r="K44" i="15"/>
  <c r="E53" i="14"/>
  <c r="AD20" i="31"/>
  <c r="AD23" i="31"/>
  <c r="C24" i="14"/>
  <c r="J11" i="15"/>
  <c r="H11" i="15"/>
  <c r="K11" i="15"/>
  <c r="E11" i="15"/>
  <c r="J28" i="31"/>
  <c r="J53" i="14"/>
  <c r="AD73" i="31"/>
  <c r="J18" i="14"/>
  <c r="E18" i="14"/>
  <c r="P18" i="14"/>
  <c r="K38" i="16"/>
  <c r="K37" i="15"/>
  <c r="J34" i="14"/>
  <c r="E34" i="14"/>
  <c r="K54" i="14"/>
  <c r="K66" i="14"/>
  <c r="K28" i="15"/>
  <c r="K60" i="16"/>
  <c r="K24" i="16"/>
  <c r="K24" i="15"/>
  <c r="C19" i="16"/>
  <c r="AC18" i="31"/>
  <c r="AH18" i="31"/>
  <c r="E11" i="14"/>
  <c r="P11" i="14"/>
  <c r="J11" i="14"/>
  <c r="AD292" i="47"/>
  <c r="P21" i="14"/>
  <c r="E21" i="14"/>
  <c r="J21" i="14"/>
  <c r="K40" i="14"/>
  <c r="E36" i="14"/>
  <c r="J36" i="14"/>
  <c r="P36" i="14"/>
  <c r="AD34" i="31"/>
  <c r="E53" i="15"/>
  <c r="J53" i="15"/>
  <c r="E56" i="15"/>
  <c r="J56" i="15"/>
  <c r="K50" i="14"/>
  <c r="E72" i="14"/>
  <c r="J73" i="14"/>
  <c r="E73" i="14"/>
  <c r="P73" i="14"/>
  <c r="K29" i="14"/>
  <c r="K61" i="16"/>
  <c r="E60" i="15"/>
  <c r="J60" i="15"/>
  <c r="E61" i="14"/>
  <c r="J61" i="14"/>
  <c r="P61" i="14"/>
  <c r="E44" i="14"/>
  <c r="J44" i="14"/>
  <c r="P44" i="14"/>
  <c r="Z75" i="31"/>
  <c r="AC19" i="31"/>
  <c r="C20" i="15"/>
  <c r="AH19" i="31"/>
  <c r="C18" i="16"/>
  <c r="AD17" i="31"/>
  <c r="AC17" i="31"/>
  <c r="AH17" i="31"/>
  <c r="J17" i="14"/>
  <c r="E17" i="14"/>
  <c r="P17" i="14"/>
  <c r="Q14" i="25"/>
  <c r="P67" i="44"/>
  <c r="E68" i="27"/>
  <c r="H37" i="24" s="1"/>
  <c r="F68" i="27"/>
  <c r="U37" i="69" s="1"/>
  <c r="Q16" i="25"/>
  <c r="D27" i="8"/>
  <c r="I27" i="8" s="1"/>
  <c r="Z27" i="8" s="1"/>
  <c r="P32" i="44"/>
  <c r="P15" i="44"/>
  <c r="Q60" i="39"/>
  <c r="Q74" i="39"/>
  <c r="L38" i="3"/>
  <c r="F38" i="3"/>
  <c r="D38" i="12" s="1"/>
  <c r="I38" i="3"/>
  <c r="J76" i="2"/>
  <c r="M26" i="69"/>
  <c r="G35" i="12"/>
  <c r="D35" i="13" s="1"/>
  <c r="L26" i="69"/>
  <c r="P53" i="39"/>
  <c r="N55" i="2"/>
  <c r="C55" i="24" s="1"/>
  <c r="O27" i="12"/>
  <c r="M96" i="2"/>
  <c r="N96" i="2" s="1"/>
  <c r="M96" i="69"/>
  <c r="N96" i="69" s="1"/>
  <c r="O97" i="12"/>
  <c r="G95" i="13"/>
  <c r="L95" i="13" s="1"/>
  <c r="L27" i="13"/>
  <c r="I86" i="69"/>
  <c r="C87" i="3" s="1"/>
  <c r="M52" i="69"/>
  <c r="M52" i="2"/>
  <c r="L52" i="69"/>
  <c r="L52" i="2"/>
  <c r="D53" i="13"/>
  <c r="O53" i="12"/>
  <c r="P57" i="38"/>
  <c r="I28" i="10" s="1"/>
  <c r="E46" i="2" s="1"/>
  <c r="C106" i="69"/>
  <c r="N55" i="69"/>
  <c r="V55" i="69" s="1"/>
  <c r="AA338" i="68"/>
  <c r="AB145" i="68"/>
  <c r="AA145" i="68"/>
  <c r="AB179" i="68"/>
  <c r="AA179" i="68"/>
  <c r="AA257" i="68"/>
  <c r="AB257" i="68"/>
  <c r="AB23" i="68"/>
  <c r="AA23" i="68"/>
  <c r="AA178" i="68"/>
  <c r="AB255" i="68"/>
  <c r="AA255" i="68"/>
  <c r="AB83" i="68"/>
  <c r="AA83" i="68"/>
  <c r="AB172" i="68"/>
  <c r="AA172" i="68"/>
  <c r="AB85" i="68"/>
  <c r="AA85" i="68"/>
  <c r="AA218" i="68"/>
  <c r="AA254" i="68"/>
  <c r="AA97" i="68"/>
  <c r="T203" i="68"/>
  <c r="E23" i="43" s="1"/>
  <c r="F18" i="8" s="1"/>
  <c r="AB215" i="68"/>
  <c r="AA215" i="68"/>
  <c r="AA217" i="68"/>
  <c r="AA321" i="68"/>
  <c r="AA325" i="68" s="1"/>
  <c r="AA220" i="68"/>
  <c r="AB336" i="68"/>
  <c r="AA336" i="68"/>
  <c r="AB80" i="68"/>
  <c r="AA80" i="68"/>
  <c r="AA252" i="68"/>
  <c r="AB252" i="68"/>
  <c r="AB256" i="68"/>
  <c r="AA256" i="68"/>
  <c r="AB131" i="68"/>
  <c r="AA131" i="68"/>
  <c r="AB295" i="68"/>
  <c r="AA295" i="68"/>
  <c r="AB81" i="68"/>
  <c r="AA81" i="68"/>
  <c r="AB84" i="68"/>
  <c r="AA84" i="68"/>
  <c r="AB300" i="68"/>
  <c r="AA300" i="68"/>
  <c r="AB242" i="68"/>
  <c r="AA242" i="68"/>
  <c r="AB143" i="68"/>
  <c r="AA143" i="68"/>
  <c r="AB106" i="68"/>
  <c r="AA106" i="68"/>
  <c r="AB268" i="68"/>
  <c r="AA268" i="68"/>
  <c r="Z306" i="68"/>
  <c r="AB306" i="68" s="1"/>
  <c r="AA294" i="68"/>
  <c r="AB294" i="68"/>
  <c r="AA339" i="68"/>
  <c r="T270" i="68"/>
  <c r="G23" i="43" s="1"/>
  <c r="H18" i="8" s="1"/>
  <c r="H16" i="8" s="1"/>
  <c r="AA112" i="68"/>
  <c r="AB146" i="68"/>
  <c r="AA146" i="68"/>
  <c r="AA216" i="68"/>
  <c r="AA133" i="68"/>
  <c r="AB133" i="68"/>
  <c r="AB94" i="68"/>
  <c r="AA94" i="68"/>
  <c r="AA144" i="68"/>
  <c r="AB144" i="68"/>
  <c r="AA212" i="68"/>
  <c r="AB237" i="68"/>
  <c r="AA237" i="68"/>
  <c r="AB109" i="68"/>
  <c r="AA109" i="68"/>
  <c r="E14" i="8"/>
  <c r="E16" i="8"/>
  <c r="AB290" i="68"/>
  <c r="AA290" i="68"/>
  <c r="AA95" i="68"/>
  <c r="AB105" i="68"/>
  <c r="AA105" i="68"/>
  <c r="V317" i="68"/>
  <c r="AA292" i="68"/>
  <c r="AB292" i="68"/>
  <c r="AB132" i="68"/>
  <c r="AA132" i="68"/>
  <c r="AA341" i="68"/>
  <c r="AA125" i="68"/>
  <c r="AB125" i="68"/>
  <c r="AA137" i="68"/>
  <c r="AA111" i="68"/>
  <c r="AB168" i="68"/>
  <c r="AA168" i="68"/>
  <c r="E32" i="15"/>
  <c r="J32" i="15"/>
  <c r="C104" i="2"/>
  <c r="I86" i="5"/>
  <c r="I65" i="13" s="1"/>
  <c r="S91" i="69"/>
  <c r="S27" i="69"/>
  <c r="H33" i="24"/>
  <c r="S34" i="69"/>
  <c r="H91" i="24"/>
  <c r="H47" i="24"/>
  <c r="H34" i="24"/>
  <c r="H28" i="24"/>
  <c r="S47" i="69"/>
  <c r="S33" i="69"/>
  <c r="S29" i="69"/>
  <c r="H32" i="24"/>
  <c r="H29" i="24"/>
  <c r="S32" i="69"/>
  <c r="H27" i="24"/>
  <c r="S28" i="69"/>
  <c r="F26" i="26"/>
  <c r="H21" i="16"/>
  <c r="E21" i="16"/>
  <c r="K21" i="16"/>
  <c r="J21" i="16"/>
  <c r="J38" i="15"/>
  <c r="E38" i="15"/>
  <c r="D17" i="21"/>
  <c r="F17" i="21" s="1"/>
  <c r="N19" i="24"/>
  <c r="D19" i="21"/>
  <c r="K31" i="69"/>
  <c r="K31" i="2"/>
  <c r="E65" i="15"/>
  <c r="J65" i="15"/>
  <c r="K65" i="15"/>
  <c r="H65" i="15"/>
  <c r="H61" i="69"/>
  <c r="I61" i="69" s="1"/>
  <c r="C62" i="3" s="1"/>
  <c r="H61" i="2"/>
  <c r="J61" i="2" s="1"/>
  <c r="Q27" i="46"/>
  <c r="E54" i="3"/>
  <c r="O54" i="3" s="1"/>
  <c r="P54" i="3" s="1"/>
  <c r="J48" i="14"/>
  <c r="E48" i="14"/>
  <c r="P48" i="14"/>
  <c r="E15" i="2"/>
  <c r="D15" i="69"/>
  <c r="Y73" i="68"/>
  <c r="W203" i="68"/>
  <c r="O15" i="25"/>
  <c r="C47" i="5"/>
  <c r="E58" i="14"/>
  <c r="J58" i="14"/>
  <c r="P58" i="14"/>
  <c r="O75" i="39"/>
  <c r="Q75" i="39" s="1"/>
  <c r="G77" i="39"/>
  <c r="Y274" i="68"/>
  <c r="W277" i="68"/>
  <c r="E43" i="16"/>
  <c r="J43" i="16"/>
  <c r="F30" i="30"/>
  <c r="D30" i="30"/>
  <c r="G45" i="12"/>
  <c r="M45" i="12"/>
  <c r="J45" i="12"/>
  <c r="E69" i="16"/>
  <c r="J69" i="16"/>
  <c r="J71" i="16" s="1"/>
  <c r="I14" i="3"/>
  <c r="L14" i="3"/>
  <c r="F14" i="3"/>
  <c r="P16" i="25"/>
  <c r="H36" i="3"/>
  <c r="I36" i="3" s="1"/>
  <c r="K35" i="69" s="1"/>
  <c r="K88" i="69"/>
  <c r="K88" i="2"/>
  <c r="E30" i="30"/>
  <c r="J37" i="16"/>
  <c r="E37" i="16"/>
  <c r="H37" i="16"/>
  <c r="K37" i="16"/>
  <c r="L48" i="3"/>
  <c r="F48" i="3"/>
  <c r="I48" i="3"/>
  <c r="O61" i="39"/>
  <c r="Q61" i="39" s="1"/>
  <c r="E26" i="3"/>
  <c r="O14" i="25"/>
  <c r="C25" i="5"/>
  <c r="D25" i="8"/>
  <c r="Z270" i="68"/>
  <c r="AB236" i="68"/>
  <c r="I32" i="5"/>
  <c r="I45" i="5" s="1"/>
  <c r="H45" i="5"/>
  <c r="N26" i="2"/>
  <c r="P26" i="2" s="1"/>
  <c r="L56" i="13"/>
  <c r="D78" i="25"/>
  <c r="E76" i="25" s="1"/>
  <c r="G15" i="25" s="1"/>
  <c r="F30" i="3"/>
  <c r="I30" i="3"/>
  <c r="L30" i="3"/>
  <c r="E62" i="14"/>
  <c r="J62" i="14"/>
  <c r="P62" i="14"/>
  <c r="N55" i="3"/>
  <c r="D55" i="12"/>
  <c r="U47" i="69"/>
  <c r="U32" i="69"/>
  <c r="U28" i="69"/>
  <c r="U34" i="69"/>
  <c r="U29" i="69"/>
  <c r="U27" i="69"/>
  <c r="U91" i="69"/>
  <c r="U33" i="69"/>
  <c r="F27" i="26"/>
  <c r="K27" i="24"/>
  <c r="H73" i="46"/>
  <c r="H51" i="24"/>
  <c r="O51" i="24" s="1"/>
  <c r="P51" i="24" s="1"/>
  <c r="S51" i="69"/>
  <c r="Y51" i="69" s="1"/>
  <c r="AA98" i="68"/>
  <c r="N34" i="3"/>
  <c r="K33" i="69"/>
  <c r="K33" i="2"/>
  <c r="D87" i="25"/>
  <c r="E85" i="25" s="1"/>
  <c r="G16" i="25" s="1"/>
  <c r="J58" i="13"/>
  <c r="G58" i="13"/>
  <c r="K49" i="2"/>
  <c r="K49" i="69"/>
  <c r="P20" i="14"/>
  <c r="E20" i="14"/>
  <c r="J20" i="14"/>
  <c r="E41" i="16"/>
  <c r="J41" i="16"/>
  <c r="C37" i="14"/>
  <c r="AD37" i="31"/>
  <c r="T233" i="68"/>
  <c r="F23" i="43" s="1"/>
  <c r="G18" i="8" s="1"/>
  <c r="Z206" i="68"/>
  <c r="C18" i="24"/>
  <c r="G19" i="21"/>
  <c r="I19" i="21" s="1"/>
  <c r="G17" i="21"/>
  <c r="I17" i="21" s="1"/>
  <c r="C104" i="69"/>
  <c r="U92" i="69"/>
  <c r="U61" i="69"/>
  <c r="U43" i="69"/>
  <c r="U38" i="69"/>
  <c r="U26" i="69"/>
  <c r="U97" i="69"/>
  <c r="U90" i="69"/>
  <c r="U60" i="69"/>
  <c r="U44" i="69"/>
  <c r="U41" i="69"/>
  <c r="U31" i="69"/>
  <c r="U94" i="69"/>
  <c r="U62" i="69"/>
  <c r="U49" i="69"/>
  <c r="U45" i="69"/>
  <c r="U40" i="69"/>
  <c r="U30" i="69"/>
  <c r="U25" i="69"/>
  <c r="U46" i="69"/>
  <c r="U93" i="69"/>
  <c r="U48" i="69"/>
  <c r="K25" i="24"/>
  <c r="D27" i="26"/>
  <c r="I27" i="26" s="1"/>
  <c r="R28" i="31"/>
  <c r="AA110" i="68"/>
  <c r="K78" i="69"/>
  <c r="H53" i="69"/>
  <c r="I53" i="69" s="1"/>
  <c r="C54" i="3" s="1"/>
  <c r="H53" i="2"/>
  <c r="J53" i="2" s="1"/>
  <c r="E35" i="24"/>
  <c r="E37" i="24" s="1"/>
  <c r="Q35" i="69"/>
  <c r="Q36" i="69"/>
  <c r="C31" i="29"/>
  <c r="J46" i="15"/>
  <c r="E46" i="15"/>
  <c r="P49" i="44"/>
  <c r="AA149" i="68"/>
  <c r="H23" i="5"/>
  <c r="I10" i="5"/>
  <c r="I23" i="5" s="1"/>
  <c r="G30" i="30"/>
  <c r="F59" i="3"/>
  <c r="I59" i="3"/>
  <c r="L59" i="3"/>
  <c r="E66" i="25"/>
  <c r="F14" i="25" s="1"/>
  <c r="E67" i="25"/>
  <c r="G14" i="25" s="1"/>
  <c r="D20" i="12"/>
  <c r="N20" i="3"/>
  <c r="AE19" i="31"/>
  <c r="AH27" i="31"/>
  <c r="C25" i="15"/>
  <c r="AC27" i="31"/>
  <c r="C35" i="15"/>
  <c r="AH37" i="31"/>
  <c r="AC37" i="31"/>
  <c r="Y214" i="68"/>
  <c r="W233" i="68"/>
  <c r="P23" i="14"/>
  <c r="J23" i="14"/>
  <c r="E23" i="14"/>
  <c r="Z335" i="68"/>
  <c r="Y351" i="68"/>
  <c r="H69" i="5"/>
  <c r="I56" i="5"/>
  <c r="I69" i="5" s="1"/>
  <c r="D18" i="12"/>
  <c r="N18" i="3"/>
  <c r="E28" i="16"/>
  <c r="J28" i="16"/>
  <c r="Q15" i="31"/>
  <c r="O75" i="31"/>
  <c r="O83" i="31" s="1"/>
  <c r="R15" i="31"/>
  <c r="L45" i="3"/>
  <c r="O45" i="3"/>
  <c r="P45" i="3" s="1"/>
  <c r="P26" i="14"/>
  <c r="E26" i="14"/>
  <c r="J26" i="14"/>
  <c r="T317" i="68"/>
  <c r="H23" i="43" s="1"/>
  <c r="I18" i="8" s="1"/>
  <c r="AB147" i="68"/>
  <c r="AA147" i="68"/>
  <c r="K62" i="3"/>
  <c r="K39" i="3"/>
  <c r="L39" i="3" s="1"/>
  <c r="K61" i="3"/>
  <c r="L61" i="3" s="1"/>
  <c r="K63" i="3"/>
  <c r="L63" i="3" s="1"/>
  <c r="K94" i="3"/>
  <c r="L94" i="3" s="1"/>
  <c r="K41" i="3"/>
  <c r="L41" i="3" s="1"/>
  <c r="K91" i="3"/>
  <c r="L91" i="3" s="1"/>
  <c r="K95" i="3"/>
  <c r="K46" i="3"/>
  <c r="K49" i="3"/>
  <c r="L49" i="3" s="1"/>
  <c r="K98" i="3"/>
  <c r="L98" i="3" s="1"/>
  <c r="K42" i="3"/>
  <c r="K44" i="3" s="1"/>
  <c r="L44" i="3" s="1"/>
  <c r="K31" i="3"/>
  <c r="L31" i="3" s="1"/>
  <c r="K93" i="3"/>
  <c r="L93" i="3" s="1"/>
  <c r="D17" i="12"/>
  <c r="N17" i="3"/>
  <c r="P14" i="25"/>
  <c r="H26" i="3"/>
  <c r="I26" i="3" s="1"/>
  <c r="D26" i="8"/>
  <c r="J39" i="16"/>
  <c r="E39" i="16"/>
  <c r="K54" i="69"/>
  <c r="K54" i="2"/>
  <c r="C106" i="2"/>
  <c r="Q34" i="69"/>
  <c r="Q27" i="69"/>
  <c r="Q47" i="69"/>
  <c r="Q33" i="69"/>
  <c r="Q28" i="69"/>
  <c r="Q91" i="69"/>
  <c r="Q32" i="69"/>
  <c r="Q29" i="69"/>
  <c r="E27" i="24"/>
  <c r="K28" i="28"/>
  <c r="F25" i="26"/>
  <c r="S53" i="69"/>
  <c r="Y53" i="69" s="1"/>
  <c r="H53" i="24"/>
  <c r="O53" i="24" s="1"/>
  <c r="P53" i="24" s="1"/>
  <c r="E27" i="31"/>
  <c r="I27" i="31"/>
  <c r="C75" i="31"/>
  <c r="AA117" i="68"/>
  <c r="AB301" i="68"/>
  <c r="AA301" i="68"/>
  <c r="G34" i="12"/>
  <c r="M34" i="12"/>
  <c r="J34" i="12"/>
  <c r="D50" i="12"/>
  <c r="N50" i="3"/>
  <c r="J19" i="21"/>
  <c r="L19" i="21" s="1"/>
  <c r="J17" i="21"/>
  <c r="L17" i="21" s="1"/>
  <c r="L26" i="3"/>
  <c r="D89" i="12"/>
  <c r="N89" i="3"/>
  <c r="D32" i="12"/>
  <c r="N32" i="3"/>
  <c r="AA72" i="68"/>
  <c r="AB72" i="68"/>
  <c r="D79" i="12"/>
  <c r="N79" i="3"/>
  <c r="E65" i="25"/>
  <c r="E48" i="15"/>
  <c r="J48" i="15"/>
  <c r="N30" i="30"/>
  <c r="L30" i="30"/>
  <c r="P30" i="30"/>
  <c r="D19" i="12"/>
  <c r="N19" i="3"/>
  <c r="O16" i="25"/>
  <c r="C71" i="5"/>
  <c r="E36" i="3"/>
  <c r="AA236" i="68"/>
  <c r="M30" i="30"/>
  <c r="G29" i="12"/>
  <c r="J29" i="12"/>
  <c r="M29" i="12"/>
  <c r="H45" i="15"/>
  <c r="E45" i="15"/>
  <c r="K45" i="15"/>
  <c r="J45" i="15"/>
  <c r="C17" i="15"/>
  <c r="AH16" i="31"/>
  <c r="AC16" i="31"/>
  <c r="AD16" i="31"/>
  <c r="M36" i="2"/>
  <c r="M36" i="69"/>
  <c r="D37" i="13"/>
  <c r="O37" i="12"/>
  <c r="L36" i="2"/>
  <c r="L36" i="69"/>
  <c r="L34" i="69"/>
  <c r="L34" i="2"/>
  <c r="R36" i="68"/>
  <c r="Y24" i="68"/>
  <c r="W36" i="68"/>
  <c r="Z68" i="68" l="1"/>
  <c r="H41" i="69"/>
  <c r="AL354" i="68"/>
  <c r="W317" i="68"/>
  <c r="W354" i="68" s="1"/>
  <c r="C23" i="43"/>
  <c r="M23" i="43" s="1"/>
  <c r="H51" i="2"/>
  <c r="J51" i="2" s="1"/>
  <c r="I52" i="3"/>
  <c r="L52" i="3"/>
  <c r="K51" i="69" s="1"/>
  <c r="AF73" i="31"/>
  <c r="AA13" i="37"/>
  <c r="AA31" i="37"/>
  <c r="AA27" i="37"/>
  <c r="AA55" i="37"/>
  <c r="K13" i="16"/>
  <c r="AA14" i="37"/>
  <c r="E71" i="16"/>
  <c r="K71" i="16" s="1"/>
  <c r="AA54" i="37"/>
  <c r="AA42" i="37"/>
  <c r="AA62" i="37"/>
  <c r="Y18" i="37"/>
  <c r="AA23" i="37"/>
  <c r="AA38" i="37"/>
  <c r="AA78" i="31"/>
  <c r="AA59" i="37"/>
  <c r="J70" i="15"/>
  <c r="J71" i="15" s="1"/>
  <c r="AA56" i="37"/>
  <c r="AA63" i="37"/>
  <c r="Y28" i="37"/>
  <c r="K73" i="14"/>
  <c r="AA68" i="37"/>
  <c r="AA32" i="37"/>
  <c r="Q19" i="37"/>
  <c r="I25" i="37"/>
  <c r="AF68" i="31"/>
  <c r="AA50" i="37"/>
  <c r="AA60" i="37"/>
  <c r="AA66" i="37"/>
  <c r="K16" i="14"/>
  <c r="W29" i="8"/>
  <c r="H61" i="24"/>
  <c r="Q53" i="30"/>
  <c r="I76" i="3"/>
  <c r="L76" i="3"/>
  <c r="F76" i="3"/>
  <c r="C57" i="21"/>
  <c r="C57" i="24" s="1"/>
  <c r="L57" i="24" s="1"/>
  <c r="J57" i="21" s="1"/>
  <c r="L57" i="21" s="1"/>
  <c r="AB201" i="68"/>
  <c r="AK354" i="68"/>
  <c r="AA52" i="68"/>
  <c r="AA305" i="68"/>
  <c r="T354" i="68"/>
  <c r="I12" i="10" s="1"/>
  <c r="I13" i="10" s="1"/>
  <c r="D85" i="69" s="1"/>
  <c r="V354" i="68"/>
  <c r="R354" i="68"/>
  <c r="R357" i="68" s="1"/>
  <c r="Y59" i="68"/>
  <c r="Z44" i="68"/>
  <c r="Z25" i="68"/>
  <c r="AA25" i="68" s="1"/>
  <c r="AA299" i="68"/>
  <c r="AA22" i="68"/>
  <c r="L43" i="3"/>
  <c r="I43" i="3"/>
  <c r="F43" i="3"/>
  <c r="R57" i="69"/>
  <c r="K18" i="14"/>
  <c r="Y19" i="37"/>
  <c r="AA40" i="37"/>
  <c r="AA43" i="37"/>
  <c r="AA65" i="37"/>
  <c r="AA45" i="37"/>
  <c r="AA44" i="37"/>
  <c r="AA74" i="37"/>
  <c r="I28" i="37"/>
  <c r="AA48" i="37"/>
  <c r="Y20" i="37"/>
  <c r="AA20" i="37" s="1"/>
  <c r="AA30" i="37"/>
  <c r="K69" i="15"/>
  <c r="K44" i="14"/>
  <c r="K53" i="15"/>
  <c r="AB303" i="68"/>
  <c r="AB317" i="68" s="1"/>
  <c r="Z18" i="8" s="1"/>
  <c r="Z16" i="8" s="1"/>
  <c r="Z281" i="68"/>
  <c r="Z285" i="68" s="1"/>
  <c r="F192" i="7"/>
  <c r="C192" i="7"/>
  <c r="C14" i="29"/>
  <c r="D12" i="29" s="1"/>
  <c r="E27" i="26" s="1"/>
  <c r="H27" i="26" s="1"/>
  <c r="K69" i="16"/>
  <c r="I24" i="37"/>
  <c r="AA24" i="37" s="1"/>
  <c r="AA12" i="37"/>
  <c r="I90" i="37"/>
  <c r="H92" i="37"/>
  <c r="K46" i="15"/>
  <c r="E76" i="37"/>
  <c r="AA46" i="37"/>
  <c r="AA37" i="37"/>
  <c r="V29" i="37"/>
  <c r="X29" i="37" s="1"/>
  <c r="U29" i="37"/>
  <c r="U76" i="37" s="1"/>
  <c r="Q25" i="37"/>
  <c r="AA35" i="37"/>
  <c r="I79" i="37"/>
  <c r="G58" i="9" s="1"/>
  <c r="Y61" i="37"/>
  <c r="Y79" i="37" s="1"/>
  <c r="G60" i="9" s="1"/>
  <c r="H12" i="29" s="1"/>
  <c r="S76" i="37"/>
  <c r="K61" i="14"/>
  <c r="Q79" i="37"/>
  <c r="G59" i="9" s="1"/>
  <c r="H11" i="29" s="1"/>
  <c r="I17" i="37"/>
  <c r="AA17" i="37" s="1"/>
  <c r="Y25" i="37"/>
  <c r="AA49" i="37"/>
  <c r="F16" i="8"/>
  <c r="O28" i="3"/>
  <c r="P28" i="3" s="1"/>
  <c r="K91" i="69"/>
  <c r="L28" i="3"/>
  <c r="K27" i="69" s="1"/>
  <c r="F29" i="8"/>
  <c r="S93" i="69"/>
  <c r="Q93" i="69"/>
  <c r="S48" i="69"/>
  <c r="S94" i="69"/>
  <c r="Y94" i="69" s="1"/>
  <c r="Q38" i="69"/>
  <c r="H30" i="24"/>
  <c r="Q46" i="69"/>
  <c r="H40" i="24"/>
  <c r="S92" i="69"/>
  <c r="Q40" i="69"/>
  <c r="D26" i="26"/>
  <c r="I26" i="26" s="1"/>
  <c r="H46" i="24"/>
  <c r="E25" i="24"/>
  <c r="E97" i="24" s="1"/>
  <c r="Q92" i="69"/>
  <c r="Q31" i="69"/>
  <c r="Y31" i="69" s="1"/>
  <c r="Q30" i="69"/>
  <c r="Q90" i="69"/>
  <c r="Q41" i="69"/>
  <c r="S46" i="69"/>
  <c r="S49" i="69"/>
  <c r="Q60" i="69"/>
  <c r="H60" i="24"/>
  <c r="S26" i="69"/>
  <c r="S97" i="69"/>
  <c r="Q49" i="69"/>
  <c r="Q25" i="69"/>
  <c r="H41" i="24"/>
  <c r="H25" i="24"/>
  <c r="H44" i="24"/>
  <c r="H38" i="24"/>
  <c r="C25" i="27"/>
  <c r="Q44" i="69"/>
  <c r="S61" i="69"/>
  <c r="H62" i="24"/>
  <c r="S60" i="69"/>
  <c r="D25" i="26"/>
  <c r="I25" i="26" s="1"/>
  <c r="Q97" i="69"/>
  <c r="Q48" i="69"/>
  <c r="H45" i="24"/>
  <c r="S30" i="69"/>
  <c r="H48" i="24"/>
  <c r="H93" i="24"/>
  <c r="S43" i="69"/>
  <c r="S40" i="69"/>
  <c r="H92" i="24"/>
  <c r="Q26" i="69"/>
  <c r="Q43" i="69"/>
  <c r="Q61" i="69"/>
  <c r="H94" i="24"/>
  <c r="H31" i="24"/>
  <c r="S62" i="69"/>
  <c r="S44" i="69"/>
  <c r="S41" i="69"/>
  <c r="Q45" i="69"/>
  <c r="Q62" i="69"/>
  <c r="H49" i="24"/>
  <c r="S38" i="69"/>
  <c r="H97" i="24"/>
  <c r="H26" i="24"/>
  <c r="S45" i="69"/>
  <c r="S25" i="69"/>
  <c r="H90" i="24"/>
  <c r="H43" i="24"/>
  <c r="S90" i="69"/>
  <c r="I13" i="3"/>
  <c r="K12" i="69" s="1"/>
  <c r="F13" i="3"/>
  <c r="D13" i="12" s="1"/>
  <c r="J13" i="12" s="1"/>
  <c r="AF92" i="31"/>
  <c r="C24" i="29"/>
  <c r="D22" i="29" s="1"/>
  <c r="U52" i="69" s="1"/>
  <c r="F75" i="31"/>
  <c r="K34" i="14"/>
  <c r="K53" i="14"/>
  <c r="C23" i="16"/>
  <c r="H23" i="16" s="1"/>
  <c r="AH24" i="31"/>
  <c r="AF50" i="31"/>
  <c r="K48" i="15"/>
  <c r="I73" i="37"/>
  <c r="AA73" i="37" s="1"/>
  <c r="AA64" i="37"/>
  <c r="Q28" i="37"/>
  <c r="N29" i="37"/>
  <c r="M29" i="37"/>
  <c r="M76" i="37" s="1"/>
  <c r="K76" i="37"/>
  <c r="Q18" i="37"/>
  <c r="H16" i="37"/>
  <c r="F76" i="37"/>
  <c r="X15" i="37"/>
  <c r="Q15" i="37"/>
  <c r="V57" i="69"/>
  <c r="K37" i="69"/>
  <c r="K100" i="2"/>
  <c r="J86" i="2"/>
  <c r="AB68" i="68"/>
  <c r="V18" i="8" s="1"/>
  <c r="V14" i="8" s="1"/>
  <c r="N101" i="3"/>
  <c r="K100" i="69"/>
  <c r="N26" i="69"/>
  <c r="V26" i="69" s="1"/>
  <c r="M34" i="2"/>
  <c r="N34" i="2" s="1"/>
  <c r="D101" i="12"/>
  <c r="G101" i="12" s="1"/>
  <c r="O35" i="12"/>
  <c r="AA88" i="37"/>
  <c r="F14" i="8"/>
  <c r="H33" i="3"/>
  <c r="I33" i="3" s="1"/>
  <c r="K32" i="69" s="1"/>
  <c r="Y91" i="69"/>
  <c r="Y34" i="69"/>
  <c r="E33" i="3"/>
  <c r="F33" i="3" s="1"/>
  <c r="D33" i="12" s="1"/>
  <c r="F28" i="3"/>
  <c r="D28" i="12" s="1"/>
  <c r="M28" i="12" s="1"/>
  <c r="O13" i="25"/>
  <c r="Y28" i="69"/>
  <c r="I24" i="31"/>
  <c r="AD24" i="31" s="1"/>
  <c r="K72" i="14"/>
  <c r="AA75" i="31"/>
  <c r="C74" i="16" s="1"/>
  <c r="K28" i="16"/>
  <c r="K56" i="15"/>
  <c r="AF94" i="31"/>
  <c r="AF97" i="31" s="1"/>
  <c r="AG97" i="31" s="1"/>
  <c r="J66" i="16"/>
  <c r="K66" i="16" s="1"/>
  <c r="Y92" i="37"/>
  <c r="E70" i="15"/>
  <c r="E71" i="15" s="1"/>
  <c r="K70" i="15"/>
  <c r="K36" i="14"/>
  <c r="K53" i="16"/>
  <c r="K60" i="15"/>
  <c r="H99" i="31"/>
  <c r="J99" i="31" s="1"/>
  <c r="AE99" i="31" s="1"/>
  <c r="AF99" i="31" s="1"/>
  <c r="AF102" i="31" s="1"/>
  <c r="AG102" i="31" s="1"/>
  <c r="I99" i="31"/>
  <c r="AD99" i="31" s="1"/>
  <c r="S28" i="31"/>
  <c r="J74" i="14"/>
  <c r="E26" i="16"/>
  <c r="J26" i="16"/>
  <c r="K26" i="16"/>
  <c r="H26" i="16"/>
  <c r="AB28" i="31"/>
  <c r="W75" i="31"/>
  <c r="AD28" i="31"/>
  <c r="F52" i="3"/>
  <c r="D52" i="12" s="1"/>
  <c r="Q30" i="30"/>
  <c r="H53" i="30"/>
  <c r="K11" i="14"/>
  <c r="E15" i="15"/>
  <c r="J15" i="15"/>
  <c r="H22" i="15"/>
  <c r="K22" i="15"/>
  <c r="E22" i="15"/>
  <c r="J22" i="15"/>
  <c r="J69" i="14"/>
  <c r="E24" i="14"/>
  <c r="P24" i="14"/>
  <c r="J24" i="14"/>
  <c r="K20" i="14"/>
  <c r="E22" i="14"/>
  <c r="J22" i="14"/>
  <c r="P22" i="14"/>
  <c r="K39" i="16"/>
  <c r="E66" i="15"/>
  <c r="S14" i="21" s="1"/>
  <c r="E74" i="14"/>
  <c r="K62" i="14"/>
  <c r="K26" i="14"/>
  <c r="E19" i="16"/>
  <c r="J19" i="16"/>
  <c r="K23" i="14"/>
  <c r="K21" i="14"/>
  <c r="H30" i="30"/>
  <c r="K38" i="15"/>
  <c r="E69" i="14"/>
  <c r="Q14" i="21" s="1"/>
  <c r="J66" i="15"/>
  <c r="K48" i="14"/>
  <c r="K43" i="16"/>
  <c r="K41" i="16"/>
  <c r="E49" i="16"/>
  <c r="J49" i="16"/>
  <c r="E20" i="15"/>
  <c r="J20" i="15"/>
  <c r="J18" i="16"/>
  <c r="E18" i="16"/>
  <c r="K17" i="14"/>
  <c r="L14" i="8"/>
  <c r="L12" i="8" s="1"/>
  <c r="L42" i="8" s="1"/>
  <c r="L40" i="8" s="1"/>
  <c r="K40" i="8"/>
  <c r="K36" i="8" s="1"/>
  <c r="S36" i="69"/>
  <c r="H36" i="24"/>
  <c r="C68" i="27"/>
  <c r="S37" i="69"/>
  <c r="Y37" i="69" s="1"/>
  <c r="S35" i="69"/>
  <c r="U35" i="69"/>
  <c r="H35" i="24"/>
  <c r="K35" i="24"/>
  <c r="K36" i="24" s="1"/>
  <c r="K37" i="24" s="1"/>
  <c r="O37" i="24" s="1"/>
  <c r="P37" i="24" s="1"/>
  <c r="U36" i="69"/>
  <c r="U27" i="8"/>
  <c r="I25" i="5"/>
  <c r="I49" i="8" s="1"/>
  <c r="Q63" i="39"/>
  <c r="Q66" i="39" s="1"/>
  <c r="H65" i="9" s="1"/>
  <c r="H45" i="69" s="1"/>
  <c r="M38" i="12"/>
  <c r="G38" i="12"/>
  <c r="D38" i="13" s="1"/>
  <c r="J38" i="12"/>
  <c r="L37" i="69" s="1"/>
  <c r="Y27" i="69"/>
  <c r="N38" i="3"/>
  <c r="T55" i="69"/>
  <c r="P55" i="2"/>
  <c r="D46" i="69"/>
  <c r="E46" i="69" s="1"/>
  <c r="N52" i="2"/>
  <c r="C52" i="21" s="1"/>
  <c r="C52" i="24" s="1"/>
  <c r="R55" i="69"/>
  <c r="L58" i="13"/>
  <c r="T96" i="69"/>
  <c r="V96" i="69"/>
  <c r="R96" i="69"/>
  <c r="P96" i="2"/>
  <c r="C96" i="21"/>
  <c r="C96" i="24" s="1"/>
  <c r="I96" i="24" s="1"/>
  <c r="G96" i="21" s="1"/>
  <c r="I96" i="21" s="1"/>
  <c r="C26" i="21"/>
  <c r="C26" i="24" s="1"/>
  <c r="N52" i="69"/>
  <c r="G53" i="13"/>
  <c r="J53" i="13"/>
  <c r="K35" i="2"/>
  <c r="K25" i="69"/>
  <c r="E12" i="8"/>
  <c r="E42" i="8" s="1"/>
  <c r="AA306" i="68"/>
  <c r="AA270" i="68"/>
  <c r="H14" i="8"/>
  <c r="H12" i="8" s="1"/>
  <c r="H18" i="26" s="1"/>
  <c r="Z317" i="68"/>
  <c r="AB270" i="68"/>
  <c r="Y18" i="8" s="1"/>
  <c r="Y14" i="8" s="1"/>
  <c r="M28" i="2"/>
  <c r="M28" i="69"/>
  <c r="K25" i="2"/>
  <c r="C16" i="15"/>
  <c r="AD15" i="31"/>
  <c r="AH15" i="31"/>
  <c r="AC15" i="31"/>
  <c r="R78" i="31"/>
  <c r="R75" i="31"/>
  <c r="I71" i="5"/>
  <c r="I74" i="5"/>
  <c r="E35" i="15"/>
  <c r="E49" i="15" s="1"/>
  <c r="J35" i="15"/>
  <c r="K91" i="24"/>
  <c r="K28" i="24"/>
  <c r="K33" i="24"/>
  <c r="K32" i="24"/>
  <c r="K47" i="24"/>
  <c r="F15" i="2"/>
  <c r="E21" i="2"/>
  <c r="E33" i="24"/>
  <c r="E47" i="24"/>
  <c r="E32" i="24"/>
  <c r="E28" i="24"/>
  <c r="E91" i="24"/>
  <c r="O27" i="24"/>
  <c r="P27" i="24" s="1"/>
  <c r="I16" i="8"/>
  <c r="AB335" i="68"/>
  <c r="AB351" i="68" s="1"/>
  <c r="AA18" i="8" s="1"/>
  <c r="Z351" i="68"/>
  <c r="G20" i="12"/>
  <c r="J20" i="12"/>
  <c r="M20" i="12"/>
  <c r="K58" i="69"/>
  <c r="K58" i="2"/>
  <c r="J24" i="31"/>
  <c r="H75" i="31"/>
  <c r="I18" i="24"/>
  <c r="F18" i="24"/>
  <c r="L18" i="24"/>
  <c r="E84" i="25"/>
  <c r="F16" i="25" s="1"/>
  <c r="E83" i="25"/>
  <c r="K29" i="69"/>
  <c r="K29" i="2"/>
  <c r="L62" i="3"/>
  <c r="F19" i="21"/>
  <c r="O19" i="21"/>
  <c r="E17" i="15"/>
  <c r="J17" i="15"/>
  <c r="D29" i="13"/>
  <c r="O29" i="12"/>
  <c r="O36" i="3"/>
  <c r="P36" i="3" s="1"/>
  <c r="F36" i="3"/>
  <c r="J19" i="12"/>
  <c r="G19" i="12"/>
  <c r="M19" i="12"/>
  <c r="E69" i="25"/>
  <c r="E14" i="25"/>
  <c r="I41" i="69"/>
  <c r="C42" i="3" s="1"/>
  <c r="M89" i="12"/>
  <c r="G89" i="12"/>
  <c r="J89" i="12"/>
  <c r="L33" i="69"/>
  <c r="L33" i="2"/>
  <c r="J27" i="31"/>
  <c r="AE27" i="31" s="1"/>
  <c r="E75" i="31"/>
  <c r="Y29" i="69"/>
  <c r="Y33" i="69"/>
  <c r="K44" i="2"/>
  <c r="K44" i="69"/>
  <c r="N45" i="3"/>
  <c r="Q75" i="31"/>
  <c r="S15" i="31"/>
  <c r="AA335" i="68"/>
  <c r="AA351" i="68" s="1"/>
  <c r="J25" i="15"/>
  <c r="E25" i="15"/>
  <c r="N59" i="3"/>
  <c r="D59" i="12"/>
  <c r="D29" i="29"/>
  <c r="D28" i="29"/>
  <c r="AB206" i="68"/>
  <c r="AA206" i="68"/>
  <c r="M55" i="12"/>
  <c r="J55" i="12"/>
  <c r="G55" i="12"/>
  <c r="D30" i="12"/>
  <c r="N30" i="3"/>
  <c r="K47" i="5"/>
  <c r="P25" i="25" s="1"/>
  <c r="J47" i="5"/>
  <c r="I25" i="8"/>
  <c r="U25" i="8"/>
  <c r="D29" i="8"/>
  <c r="K13" i="69"/>
  <c r="N13" i="69" s="1"/>
  <c r="K13" i="2"/>
  <c r="N13" i="2" s="1"/>
  <c r="M44" i="2"/>
  <c r="M44" i="69"/>
  <c r="Q77" i="39"/>
  <c r="Q80" i="39" s="1"/>
  <c r="H67" i="9" s="1"/>
  <c r="K58" i="14"/>
  <c r="Z73" i="68"/>
  <c r="AA73" i="68" s="1"/>
  <c r="AA203" i="68" s="1"/>
  <c r="Y203" i="68"/>
  <c r="F65" i="13"/>
  <c r="I81" i="13"/>
  <c r="I61" i="13"/>
  <c r="I82" i="13"/>
  <c r="I96" i="13" s="1"/>
  <c r="I75" i="13"/>
  <c r="I66" i="13"/>
  <c r="I67" i="13" s="1"/>
  <c r="I68" i="13" s="1"/>
  <c r="I69" i="13" s="1"/>
  <c r="I70" i="13" s="1"/>
  <c r="I71" i="13" s="1"/>
  <c r="I72" i="13" s="1"/>
  <c r="I73" i="13" s="1"/>
  <c r="I74" i="13" s="1"/>
  <c r="I80" i="13" s="1"/>
  <c r="I76" i="13"/>
  <c r="K32" i="15"/>
  <c r="M32" i="12"/>
  <c r="G32" i="12"/>
  <c r="J32" i="12"/>
  <c r="J50" i="12"/>
  <c r="M50" i="12"/>
  <c r="G50" i="12"/>
  <c r="D34" i="13"/>
  <c r="O34" i="12"/>
  <c r="H39" i="3"/>
  <c r="I39" i="3" s="1"/>
  <c r="H46" i="3"/>
  <c r="H31" i="3"/>
  <c r="I31" i="3" s="1"/>
  <c r="H61" i="3"/>
  <c r="I61" i="3" s="1"/>
  <c r="H42" i="3"/>
  <c r="H91" i="3"/>
  <c r="I91" i="3" s="1"/>
  <c r="H98" i="3"/>
  <c r="I98" i="3" s="1"/>
  <c r="K97" i="69" s="1"/>
  <c r="H62" i="3"/>
  <c r="I62" i="3" s="1"/>
  <c r="H94" i="3"/>
  <c r="I94" i="3" s="1"/>
  <c r="H63" i="3"/>
  <c r="I63" i="3" s="1"/>
  <c r="H93" i="3"/>
  <c r="I93" i="3" s="1"/>
  <c r="H95" i="3"/>
  <c r="H49" i="3"/>
  <c r="I49" i="3" s="1"/>
  <c r="H41" i="3"/>
  <c r="C26" i="15"/>
  <c r="AC28" i="31"/>
  <c r="AH28" i="31"/>
  <c r="N48" i="3"/>
  <c r="D48" i="12"/>
  <c r="Y277" i="68"/>
  <c r="Z274" i="68"/>
  <c r="AB274" i="68" s="1"/>
  <c r="AB277" i="68" s="1"/>
  <c r="AB18" i="8" s="1"/>
  <c r="L28" i="2"/>
  <c r="L28" i="69"/>
  <c r="AD27" i="31"/>
  <c r="C27" i="14"/>
  <c r="G17" i="12"/>
  <c r="J17" i="12"/>
  <c r="M17" i="12"/>
  <c r="P28" i="14"/>
  <c r="K28" i="14"/>
  <c r="J28" i="14"/>
  <c r="E28" i="14"/>
  <c r="H28" i="14"/>
  <c r="K71" i="5"/>
  <c r="L36" i="12" s="1"/>
  <c r="J71" i="5"/>
  <c r="I36" i="12" s="1"/>
  <c r="Z214" i="68"/>
  <c r="AB214" i="68" s="1"/>
  <c r="Y233" i="68"/>
  <c r="F54" i="3"/>
  <c r="L54" i="3"/>
  <c r="I54" i="3"/>
  <c r="J37" i="14"/>
  <c r="J51" i="14" s="1"/>
  <c r="E37" i="14"/>
  <c r="E51" i="14" s="1"/>
  <c r="P37" i="14"/>
  <c r="E31" i="3"/>
  <c r="E61" i="3"/>
  <c r="E49" i="3"/>
  <c r="E39" i="3"/>
  <c r="E62" i="3"/>
  <c r="F62" i="3" s="1"/>
  <c r="E98" i="3"/>
  <c r="E44" i="3"/>
  <c r="E93" i="3"/>
  <c r="E91" i="3"/>
  <c r="E95" i="3"/>
  <c r="E63" i="3"/>
  <c r="E46" i="3"/>
  <c r="E42" i="3"/>
  <c r="O26" i="3"/>
  <c r="P26" i="3" s="1"/>
  <c r="E41" i="3"/>
  <c r="E94" i="3"/>
  <c r="D14" i="12"/>
  <c r="N14" i="3"/>
  <c r="L44" i="69"/>
  <c r="L44" i="2"/>
  <c r="L55" i="24"/>
  <c r="J55" i="21" s="1"/>
  <c r="L55" i="21" s="1"/>
  <c r="J41" i="2"/>
  <c r="F26" i="3"/>
  <c r="M33" i="2"/>
  <c r="M33" i="69"/>
  <c r="F29" i="26"/>
  <c r="Y32" i="69"/>
  <c r="Y47" i="69"/>
  <c r="U26" i="8"/>
  <c r="I26" i="8"/>
  <c r="Z26" i="8" s="1"/>
  <c r="M18" i="12"/>
  <c r="J18" i="12"/>
  <c r="G18" i="12"/>
  <c r="E45" i="2"/>
  <c r="F45" i="2" s="1"/>
  <c r="F46" i="2"/>
  <c r="J25" i="5"/>
  <c r="K25" i="5"/>
  <c r="I50" i="8" s="1"/>
  <c r="Z50" i="8" s="1"/>
  <c r="D27" i="29"/>
  <c r="E36" i="24"/>
  <c r="K26" i="24"/>
  <c r="K49" i="24" s="1"/>
  <c r="K48" i="24"/>
  <c r="K61" i="24"/>
  <c r="K97" i="24"/>
  <c r="K92" i="24"/>
  <c r="K30" i="24"/>
  <c r="K60" i="24"/>
  <c r="K31" i="24"/>
  <c r="K94" i="24"/>
  <c r="K46" i="24"/>
  <c r="K93" i="24"/>
  <c r="K62" i="24"/>
  <c r="K45" i="24"/>
  <c r="K41" i="24"/>
  <c r="K44" i="24" s="1"/>
  <c r="K90" i="24"/>
  <c r="K38" i="24"/>
  <c r="K40" i="24"/>
  <c r="K43" i="24" s="1"/>
  <c r="G16" i="8"/>
  <c r="G14" i="8"/>
  <c r="E74" i="25"/>
  <c r="E75" i="25"/>
  <c r="F15" i="25" s="1"/>
  <c r="I50" i="5"/>
  <c r="F42" i="12" s="1"/>
  <c r="I51" i="5"/>
  <c r="F44" i="12" s="1"/>
  <c r="K51" i="5"/>
  <c r="L44" i="12" s="1"/>
  <c r="J50" i="5"/>
  <c r="I42" i="12" s="1"/>
  <c r="I49" i="12" s="1"/>
  <c r="I47" i="5"/>
  <c r="O25" i="25" s="1"/>
  <c r="K47" i="69"/>
  <c r="K47" i="2"/>
  <c r="D45" i="13"/>
  <c r="O45" i="12"/>
  <c r="D21" i="69"/>
  <c r="E15" i="69"/>
  <c r="C39" i="29"/>
  <c r="D37" i="29" s="1"/>
  <c r="J35" i="13"/>
  <c r="G35" i="13"/>
  <c r="N34" i="69"/>
  <c r="N36" i="2"/>
  <c r="G37" i="13"/>
  <c r="J37" i="13"/>
  <c r="N36" i="69"/>
  <c r="Z24" i="68"/>
  <c r="AB24" i="68" s="1"/>
  <c r="Y36" i="68"/>
  <c r="D18" i="8"/>
  <c r="K51" i="2" l="1"/>
  <c r="Y93" i="69"/>
  <c r="I73" i="12"/>
  <c r="F73" i="12" s="1"/>
  <c r="P73" i="12" s="1"/>
  <c r="Q25" i="25"/>
  <c r="L76" i="12"/>
  <c r="K75" i="69"/>
  <c r="K75" i="2"/>
  <c r="I76" i="12"/>
  <c r="P76" i="12" s="1"/>
  <c r="Q76" i="12" s="1"/>
  <c r="AB74" i="37"/>
  <c r="AA19" i="37"/>
  <c r="K71" i="15"/>
  <c r="AA18" i="37"/>
  <c r="AA61" i="37"/>
  <c r="AA28" i="37"/>
  <c r="AA25" i="37"/>
  <c r="D10" i="29"/>
  <c r="E25" i="26" s="1"/>
  <c r="N76" i="3"/>
  <c r="D76" i="12"/>
  <c r="F57" i="24"/>
  <c r="I57" i="24"/>
  <c r="G57" i="21" s="1"/>
  <c r="I57" i="21" s="1"/>
  <c r="E43" i="24"/>
  <c r="O43" i="24" s="1"/>
  <c r="P43" i="24" s="1"/>
  <c r="AA44" i="68"/>
  <c r="AA59" i="68" s="1"/>
  <c r="Z59" i="68"/>
  <c r="Y354" i="68"/>
  <c r="AA281" i="68"/>
  <c r="AA285" i="68" s="1"/>
  <c r="AA317" i="68"/>
  <c r="AB25" i="68"/>
  <c r="AB36" i="68" s="1"/>
  <c r="U18" i="8" s="1"/>
  <c r="AB281" i="68"/>
  <c r="AB285" i="68" s="1"/>
  <c r="AC18" i="8" s="1"/>
  <c r="AC16" i="8" s="1"/>
  <c r="N43" i="3"/>
  <c r="D43" i="12"/>
  <c r="K42" i="2"/>
  <c r="K42" i="69"/>
  <c r="M13" i="12"/>
  <c r="G38" i="13"/>
  <c r="J38" i="13"/>
  <c r="T26" i="69"/>
  <c r="R26" i="69"/>
  <c r="E23" i="16"/>
  <c r="E30" i="16" s="1"/>
  <c r="U11" i="21" s="1"/>
  <c r="AB69" i="37"/>
  <c r="AB79" i="37" s="1"/>
  <c r="D11" i="29"/>
  <c r="E26" i="26" s="1"/>
  <c r="H26" i="26" s="1"/>
  <c r="H14" i="26" s="1"/>
  <c r="K23" i="16"/>
  <c r="K35" i="15"/>
  <c r="J23" i="16"/>
  <c r="J30" i="16" s="1"/>
  <c r="J74" i="16" s="1"/>
  <c r="Y48" i="69"/>
  <c r="V16" i="8"/>
  <c r="V12" i="8" s="1"/>
  <c r="V42" i="8" s="1"/>
  <c r="V38" i="8" s="1"/>
  <c r="F12" i="8"/>
  <c r="F18" i="26" s="1"/>
  <c r="F14" i="26" s="1"/>
  <c r="D20" i="29"/>
  <c r="Q52" i="69" s="1"/>
  <c r="D21" i="29"/>
  <c r="H52" i="24" s="1"/>
  <c r="I52" i="24" s="1"/>
  <c r="G52" i="21" s="1"/>
  <c r="I52" i="21" s="1"/>
  <c r="H60" i="9"/>
  <c r="H14" i="69" s="1"/>
  <c r="I14" i="69" s="1"/>
  <c r="Y29" i="37"/>
  <c r="AB51" i="37"/>
  <c r="H10" i="29"/>
  <c r="H14" i="29" s="1"/>
  <c r="I10" i="29" s="1"/>
  <c r="Q42" i="69" s="1"/>
  <c r="K52" i="24"/>
  <c r="L52" i="24" s="1"/>
  <c r="J52" i="21" s="1"/>
  <c r="L52" i="21" s="1"/>
  <c r="I92" i="37"/>
  <c r="AA90" i="37"/>
  <c r="AB90" i="37" s="1"/>
  <c r="V76" i="37"/>
  <c r="K27" i="2"/>
  <c r="E61" i="24"/>
  <c r="O61" i="24" s="1"/>
  <c r="P61" i="24" s="1"/>
  <c r="E92" i="24"/>
  <c r="E40" i="24"/>
  <c r="Y60" i="69"/>
  <c r="I29" i="26"/>
  <c r="Y38" i="69"/>
  <c r="E30" i="24"/>
  <c r="O30" i="24" s="1"/>
  <c r="P30" i="24" s="1"/>
  <c r="Y30" i="69"/>
  <c r="Y97" i="69"/>
  <c r="Y40" i="69"/>
  <c r="Y92" i="69"/>
  <c r="Y41" i="69"/>
  <c r="E94" i="24"/>
  <c r="O94" i="24" s="1"/>
  <c r="P94" i="24" s="1"/>
  <c r="Y46" i="69"/>
  <c r="E90" i="24"/>
  <c r="O90" i="24" s="1"/>
  <c r="P90" i="24" s="1"/>
  <c r="O25" i="24"/>
  <c r="P25" i="24" s="1"/>
  <c r="E31" i="24"/>
  <c r="O31" i="24" s="1"/>
  <c r="P31" i="24" s="1"/>
  <c r="E41" i="24"/>
  <c r="O41" i="24" s="1"/>
  <c r="P41" i="24" s="1"/>
  <c r="E62" i="24"/>
  <c r="O62" i="24" s="1"/>
  <c r="P62" i="24" s="1"/>
  <c r="E26" i="24"/>
  <c r="E44" i="24" s="1"/>
  <c r="O44" i="24" s="1"/>
  <c r="P44" i="24" s="1"/>
  <c r="E60" i="24"/>
  <c r="O60" i="24" s="1"/>
  <c r="P60" i="24" s="1"/>
  <c r="E93" i="24"/>
  <c r="O93" i="24" s="1"/>
  <c r="P93" i="24" s="1"/>
  <c r="E38" i="24"/>
  <c r="O38" i="24" s="1"/>
  <c r="P38" i="24" s="1"/>
  <c r="E48" i="24"/>
  <c r="O48" i="24" s="1"/>
  <c r="P48" i="24" s="1"/>
  <c r="E45" i="24"/>
  <c r="O45" i="24" s="1"/>
  <c r="P45" i="24" s="1"/>
  <c r="Y90" i="69"/>
  <c r="Y61" i="69"/>
  <c r="D29" i="26"/>
  <c r="Y49" i="69"/>
  <c r="Y45" i="69"/>
  <c r="Y25" i="69"/>
  <c r="Y44" i="69"/>
  <c r="Y62" i="69"/>
  <c r="Y43" i="69"/>
  <c r="Y26" i="69"/>
  <c r="K12" i="2"/>
  <c r="N12" i="2" s="1"/>
  <c r="N13" i="3"/>
  <c r="G13" i="12"/>
  <c r="K20" i="15"/>
  <c r="I78" i="31"/>
  <c r="AC78" i="31" s="1"/>
  <c r="AA79" i="31" s="1"/>
  <c r="I75" i="31"/>
  <c r="C25" i="14"/>
  <c r="P25" i="14" s="1"/>
  <c r="P29" i="37"/>
  <c r="N76" i="37"/>
  <c r="I16" i="37"/>
  <c r="H76" i="37"/>
  <c r="Y15" i="37"/>
  <c r="AA15" i="37" s="1"/>
  <c r="X76" i="37"/>
  <c r="K32" i="2"/>
  <c r="P52" i="2"/>
  <c r="N28" i="3"/>
  <c r="M37" i="69"/>
  <c r="M37" i="2"/>
  <c r="AB14" i="8"/>
  <c r="AB16" i="8"/>
  <c r="H42" i="8"/>
  <c r="H40" i="8" s="1"/>
  <c r="Y16" i="8"/>
  <c r="Y12" i="8" s="1"/>
  <c r="Y42" i="8" s="1"/>
  <c r="G12" i="8"/>
  <c r="G18" i="26" s="1"/>
  <c r="E18" i="26"/>
  <c r="E16" i="26" s="1"/>
  <c r="Y36" i="69"/>
  <c r="O33" i="3"/>
  <c r="P33" i="3" s="1"/>
  <c r="G28" i="12"/>
  <c r="D28" i="13" s="1"/>
  <c r="O91" i="24"/>
  <c r="P91" i="24" s="1"/>
  <c r="J28" i="12"/>
  <c r="L27" i="2" s="1"/>
  <c r="N33" i="3"/>
  <c r="D46" i="25"/>
  <c r="K15" i="15"/>
  <c r="K74" i="14"/>
  <c r="K22" i="14"/>
  <c r="AB75" i="31"/>
  <c r="D27" i="25" s="1"/>
  <c r="D37" i="25"/>
  <c r="AE28" i="31"/>
  <c r="N52" i="3"/>
  <c r="K24" i="14"/>
  <c r="K66" i="15"/>
  <c r="K69" i="14"/>
  <c r="K25" i="15"/>
  <c r="K19" i="16"/>
  <c r="K18" i="16"/>
  <c r="K17" i="15"/>
  <c r="K37" i="14"/>
  <c r="K49" i="16"/>
  <c r="K51" i="14"/>
  <c r="L38" i="8"/>
  <c r="L36" i="8" s="1"/>
  <c r="Y35" i="69"/>
  <c r="O35" i="24"/>
  <c r="P35" i="24" s="1"/>
  <c r="O36" i="24"/>
  <c r="P36" i="24" s="1"/>
  <c r="O46" i="3"/>
  <c r="P46" i="3" s="1"/>
  <c r="H25" i="5"/>
  <c r="H45" i="2"/>
  <c r="J45" i="2" s="1"/>
  <c r="O38" i="12"/>
  <c r="F96" i="24"/>
  <c r="D96" i="21" s="1"/>
  <c r="D45" i="69"/>
  <c r="E45" i="69" s="1"/>
  <c r="I45" i="69" s="1"/>
  <c r="C46" i="3" s="1"/>
  <c r="O42" i="3"/>
  <c r="P42" i="3" s="1"/>
  <c r="O32" i="24"/>
  <c r="P32" i="24" s="1"/>
  <c r="O47" i="24"/>
  <c r="P47" i="24" s="1"/>
  <c r="N33" i="2"/>
  <c r="C33" i="21" s="1"/>
  <c r="C33" i="24" s="1"/>
  <c r="V52" i="69"/>
  <c r="L96" i="24"/>
  <c r="J96" i="21" s="1"/>
  <c r="L96" i="21" s="1"/>
  <c r="L35" i="13"/>
  <c r="N44" i="69"/>
  <c r="R44" i="69" s="1"/>
  <c r="N33" i="69"/>
  <c r="T33" i="69" s="1"/>
  <c r="K97" i="2"/>
  <c r="L53" i="13"/>
  <c r="AA214" i="68"/>
  <c r="AA233" i="68" s="1"/>
  <c r="Z14" i="8"/>
  <c r="Z12" i="8" s="1"/>
  <c r="Z42" i="8" s="1"/>
  <c r="Z38" i="8" s="1"/>
  <c r="E40" i="8"/>
  <c r="E38" i="8"/>
  <c r="N62" i="3"/>
  <c r="D62" i="12"/>
  <c r="K61" i="69"/>
  <c r="K61" i="2"/>
  <c r="U15" i="69"/>
  <c r="K15" i="24"/>
  <c r="L17" i="69"/>
  <c r="I101" i="12"/>
  <c r="L17" i="2"/>
  <c r="D36" i="29"/>
  <c r="O93" i="3"/>
  <c r="P93" i="3" s="1"/>
  <c r="F93" i="3"/>
  <c r="J48" i="12"/>
  <c r="M48" i="12"/>
  <c r="G48" i="12"/>
  <c r="K60" i="69"/>
  <c r="K60" i="2"/>
  <c r="L49" i="69"/>
  <c r="L49" i="2"/>
  <c r="L31" i="2"/>
  <c r="L31" i="69"/>
  <c r="L66" i="12"/>
  <c r="L70" i="12"/>
  <c r="L75" i="12"/>
  <c r="L82" i="12" s="1"/>
  <c r="L80" i="12"/>
  <c r="M80" i="12" s="1"/>
  <c r="L74" i="12"/>
  <c r="L67" i="12"/>
  <c r="L71" i="12"/>
  <c r="L77" i="12"/>
  <c r="L81" i="12"/>
  <c r="M81" i="12" s="1"/>
  <c r="L69" i="12"/>
  <c r="L68" i="12"/>
  <c r="L72" i="12"/>
  <c r="L78" i="12"/>
  <c r="L65" i="12"/>
  <c r="L79" i="12"/>
  <c r="M79" i="12" s="1"/>
  <c r="L41" i="12"/>
  <c r="L54" i="2"/>
  <c r="L54" i="69"/>
  <c r="J45" i="13"/>
  <c r="G45" i="13"/>
  <c r="J14" i="12"/>
  <c r="M14" i="12"/>
  <c r="G14" i="12"/>
  <c r="F44" i="3"/>
  <c r="Z277" i="68"/>
  <c r="AA274" i="68"/>
  <c r="AA277" i="68" s="1"/>
  <c r="K21" i="69"/>
  <c r="N12" i="69"/>
  <c r="K92" i="69"/>
  <c r="K92" i="2"/>
  <c r="K30" i="69"/>
  <c r="K30" i="2"/>
  <c r="J34" i="13"/>
  <c r="G34" i="13"/>
  <c r="D32" i="13"/>
  <c r="O32" i="12"/>
  <c r="T13" i="69"/>
  <c r="V13" i="69"/>
  <c r="R13" i="69"/>
  <c r="AE15" i="31"/>
  <c r="S75" i="31"/>
  <c r="D26" i="25" s="1"/>
  <c r="D36" i="25"/>
  <c r="D19" i="13"/>
  <c r="O19" i="12"/>
  <c r="G16" i="21"/>
  <c r="I16" i="21" s="1"/>
  <c r="G18" i="21"/>
  <c r="I18" i="21" s="1"/>
  <c r="AE24" i="31"/>
  <c r="J75" i="31"/>
  <c r="D25" i="25" s="1"/>
  <c r="D35" i="25"/>
  <c r="D14" i="8"/>
  <c r="J49" i="15"/>
  <c r="K49" i="15" s="1"/>
  <c r="E21" i="69"/>
  <c r="I15" i="69"/>
  <c r="P44" i="12"/>
  <c r="Q44" i="12" s="1"/>
  <c r="D26" i="12"/>
  <c r="N26" i="3"/>
  <c r="O95" i="3"/>
  <c r="P95" i="3" s="1"/>
  <c r="F98" i="3"/>
  <c r="O98" i="3"/>
  <c r="P98" i="3" s="1"/>
  <c r="F61" i="3"/>
  <c r="O61" i="3"/>
  <c r="P61" i="3" s="1"/>
  <c r="M16" i="69"/>
  <c r="M16" i="2"/>
  <c r="L101" i="12"/>
  <c r="M101" i="12" s="1"/>
  <c r="I41" i="3"/>
  <c r="H44" i="3"/>
  <c r="I44" i="3" s="1"/>
  <c r="K62" i="69"/>
  <c r="K62" i="2"/>
  <c r="K90" i="69"/>
  <c r="K90" i="2"/>
  <c r="O50" i="12"/>
  <c r="D50" i="13"/>
  <c r="M31" i="69"/>
  <c r="M31" i="2"/>
  <c r="F76" i="13"/>
  <c r="M76" i="13" s="1"/>
  <c r="N76" i="13" s="1"/>
  <c r="M65" i="13"/>
  <c r="F75" i="13"/>
  <c r="M75" i="13" s="1"/>
  <c r="N75" i="13" s="1"/>
  <c r="F81" i="13"/>
  <c r="M81" i="13" s="1"/>
  <c r="N81" i="13" s="1"/>
  <c r="F82" i="13"/>
  <c r="F61" i="13"/>
  <c r="M61" i="13" s="1"/>
  <c r="N61" i="13" s="1"/>
  <c r="F66" i="13"/>
  <c r="AB73" i="68"/>
  <c r="AB203" i="68" s="1"/>
  <c r="W18" i="8" s="1"/>
  <c r="Z203" i="68"/>
  <c r="O40" i="24"/>
  <c r="P40" i="24" s="1"/>
  <c r="O92" i="24"/>
  <c r="P92" i="24" s="1"/>
  <c r="I29" i="8"/>
  <c r="Z25" i="8"/>
  <c r="Z29" i="8" s="1"/>
  <c r="G30" i="12"/>
  <c r="J30" i="12"/>
  <c r="M30" i="12"/>
  <c r="Z233" i="68"/>
  <c r="S54" i="69"/>
  <c r="H54" i="24"/>
  <c r="E55" i="24"/>
  <c r="Z49" i="8"/>
  <c r="J29" i="13"/>
  <c r="G29" i="13"/>
  <c r="D20" i="13"/>
  <c r="O20" i="12"/>
  <c r="O33" i="24"/>
  <c r="P33" i="24" s="1"/>
  <c r="J15" i="2"/>
  <c r="F21" i="2"/>
  <c r="K34" i="24"/>
  <c r="K29" i="24"/>
  <c r="H71" i="5"/>
  <c r="F36" i="12"/>
  <c r="P36" i="12" s="1"/>
  <c r="Q36" i="12" s="1"/>
  <c r="O94" i="3"/>
  <c r="P94" i="3" s="1"/>
  <c r="F94" i="3"/>
  <c r="O39" i="3"/>
  <c r="P39" i="3" s="1"/>
  <c r="F39" i="3"/>
  <c r="D17" i="13"/>
  <c r="O17" i="12"/>
  <c r="H46" i="69"/>
  <c r="H46" i="2"/>
  <c r="P13" i="2"/>
  <c r="C13" i="21"/>
  <c r="C13" i="24" s="1"/>
  <c r="L13" i="24" s="1"/>
  <c r="J13" i="21" s="1"/>
  <c r="L13" i="21" s="1"/>
  <c r="M88" i="2"/>
  <c r="N88" i="2" s="1"/>
  <c r="M88" i="69"/>
  <c r="N88" i="69" s="1"/>
  <c r="D18" i="21"/>
  <c r="N18" i="24"/>
  <c r="D16" i="21"/>
  <c r="F16" i="21" s="1"/>
  <c r="J16" i="15"/>
  <c r="E16" i="15"/>
  <c r="N28" i="2"/>
  <c r="D35" i="29"/>
  <c r="E78" i="25"/>
  <c r="E15" i="25"/>
  <c r="Q54" i="69"/>
  <c r="E54" i="24"/>
  <c r="D31" i="29"/>
  <c r="F41" i="3"/>
  <c r="O41" i="3"/>
  <c r="P41" i="3" s="1"/>
  <c r="F63" i="3"/>
  <c r="O63" i="3"/>
  <c r="P63" i="3" s="1"/>
  <c r="F49" i="3"/>
  <c r="O49" i="3"/>
  <c r="P49" i="3" s="1"/>
  <c r="K53" i="2"/>
  <c r="K53" i="69"/>
  <c r="P27" i="14"/>
  <c r="H27" i="14"/>
  <c r="E27" i="14"/>
  <c r="J27" i="14"/>
  <c r="K27" i="14"/>
  <c r="U29" i="8"/>
  <c r="M54" i="69"/>
  <c r="M54" i="2"/>
  <c r="E87" i="25"/>
  <c r="E16" i="25"/>
  <c r="F46" i="13"/>
  <c r="J74" i="5"/>
  <c r="F46" i="12"/>
  <c r="D99" i="13"/>
  <c r="H16" i="26"/>
  <c r="F79" i="12"/>
  <c r="F68" i="12"/>
  <c r="F72" i="12"/>
  <c r="F78" i="12"/>
  <c r="F65" i="12"/>
  <c r="F77" i="12"/>
  <c r="F80" i="12"/>
  <c r="F69" i="12"/>
  <c r="F74" i="12"/>
  <c r="F66" i="12"/>
  <c r="F67" i="12"/>
  <c r="F81" i="12"/>
  <c r="F70" i="12"/>
  <c r="F75" i="12"/>
  <c r="F71" i="12"/>
  <c r="H47" i="5"/>
  <c r="F41" i="12"/>
  <c r="P42" i="12"/>
  <c r="Q42" i="12" s="1"/>
  <c r="F49" i="12"/>
  <c r="P49" i="12" s="1"/>
  <c r="Q49" i="12" s="1"/>
  <c r="I51" i="8"/>
  <c r="Z51" i="8" s="1"/>
  <c r="I26" i="12"/>
  <c r="O18" i="12"/>
  <c r="D18" i="13"/>
  <c r="N44" i="2"/>
  <c r="F91" i="3"/>
  <c r="O91" i="3"/>
  <c r="P91" i="3" s="1"/>
  <c r="O62" i="3"/>
  <c r="P62" i="3" s="1"/>
  <c r="O31" i="3"/>
  <c r="P31" i="3" s="1"/>
  <c r="F31" i="3"/>
  <c r="D54" i="12"/>
  <c r="N54" i="3"/>
  <c r="E26" i="15"/>
  <c r="J26" i="15"/>
  <c r="K26" i="15"/>
  <c r="G33" i="12"/>
  <c r="J33" i="12"/>
  <c r="M33" i="12"/>
  <c r="K48" i="69"/>
  <c r="K48" i="2"/>
  <c r="K93" i="69"/>
  <c r="K93" i="2"/>
  <c r="K38" i="69"/>
  <c r="K38" i="2"/>
  <c r="M49" i="69"/>
  <c r="M49" i="2"/>
  <c r="O97" i="24"/>
  <c r="P97" i="24" s="1"/>
  <c r="G52" i="12"/>
  <c r="M52" i="12"/>
  <c r="J52" i="12"/>
  <c r="I68" i="12"/>
  <c r="I72" i="12"/>
  <c r="I78" i="12"/>
  <c r="I67" i="12"/>
  <c r="I81" i="12"/>
  <c r="J81" i="12" s="1"/>
  <c r="I65" i="12"/>
  <c r="I69" i="12"/>
  <c r="I74" i="12"/>
  <c r="I79" i="12"/>
  <c r="J79" i="12" s="1"/>
  <c r="I71" i="12"/>
  <c r="I66" i="12"/>
  <c r="I70" i="12"/>
  <c r="I75" i="12"/>
  <c r="I82" i="12" s="1"/>
  <c r="I80" i="12"/>
  <c r="J80" i="12" s="1"/>
  <c r="I77" i="12"/>
  <c r="I41" i="12"/>
  <c r="O55" i="12"/>
  <c r="D55" i="13"/>
  <c r="AB233" i="68"/>
  <c r="X18" i="8" s="1"/>
  <c r="U54" i="69"/>
  <c r="H55" i="24"/>
  <c r="I55" i="24" s="1"/>
  <c r="G55" i="21" s="1"/>
  <c r="I55" i="21" s="1"/>
  <c r="K54" i="24"/>
  <c r="J59" i="12"/>
  <c r="G59" i="12"/>
  <c r="M59" i="12"/>
  <c r="D87" i="13"/>
  <c r="O89" i="12"/>
  <c r="L42" i="3"/>
  <c r="F42" i="3"/>
  <c r="I42" i="3"/>
  <c r="D36" i="12"/>
  <c r="N36" i="3"/>
  <c r="J18" i="21"/>
  <c r="L18" i="21" s="1"/>
  <c r="J16" i="21"/>
  <c r="L16" i="21" s="1"/>
  <c r="I14" i="8"/>
  <c r="I12" i="8" s="1"/>
  <c r="E29" i="24"/>
  <c r="E34" i="24"/>
  <c r="O28" i="24"/>
  <c r="P28" i="24" s="1"/>
  <c r="M27" i="69"/>
  <c r="M27" i="2"/>
  <c r="C74" i="15"/>
  <c r="D45" i="25"/>
  <c r="N28" i="69"/>
  <c r="C36" i="21"/>
  <c r="P36" i="2"/>
  <c r="V36" i="69"/>
  <c r="T36" i="69"/>
  <c r="R36" i="69"/>
  <c r="L37" i="13"/>
  <c r="P34" i="2"/>
  <c r="C34" i="21"/>
  <c r="T34" i="69"/>
  <c r="R34" i="69"/>
  <c r="V34" i="69"/>
  <c r="D57" i="21"/>
  <c r="L26" i="24"/>
  <c r="J26" i="21" s="1"/>
  <c r="L26" i="21" s="1"/>
  <c r="I26" i="24"/>
  <c r="G26" i="21" s="1"/>
  <c r="I26" i="21" s="1"/>
  <c r="E85" i="2"/>
  <c r="E102" i="2" s="1"/>
  <c r="E104" i="2" s="1"/>
  <c r="N23" i="43"/>
  <c r="AA24" i="68"/>
  <c r="D16" i="8"/>
  <c r="M18" i="8"/>
  <c r="Z36" i="68"/>
  <c r="E85" i="69"/>
  <c r="O92" i="3"/>
  <c r="P92" i="3" s="1"/>
  <c r="F92" i="3"/>
  <c r="D44" i="25" l="1"/>
  <c r="I83" i="31"/>
  <c r="N57" i="24"/>
  <c r="D14" i="29"/>
  <c r="T12" i="25"/>
  <c r="W12" i="25" s="1"/>
  <c r="M76" i="12"/>
  <c r="G76" i="12"/>
  <c r="J76" i="12"/>
  <c r="L38" i="13"/>
  <c r="O13" i="12"/>
  <c r="AB354" i="68"/>
  <c r="Z354" i="68"/>
  <c r="AC14" i="8"/>
  <c r="AC12" i="8" s="1"/>
  <c r="AC42" i="8" s="1"/>
  <c r="G43" i="12"/>
  <c r="M43" i="12"/>
  <c r="J43" i="12"/>
  <c r="S52" i="69"/>
  <c r="T52" i="69" s="1"/>
  <c r="D24" i="29"/>
  <c r="E52" i="24"/>
  <c r="F52" i="24" s="1"/>
  <c r="N52" i="24" s="1"/>
  <c r="D13" i="13"/>
  <c r="G13" i="13" s="1"/>
  <c r="H14" i="2"/>
  <c r="J14" i="2" s="1"/>
  <c r="N14" i="2" s="1"/>
  <c r="C14" i="21" s="1"/>
  <c r="C14" i="24" s="1"/>
  <c r="F42" i="8"/>
  <c r="F38" i="8" s="1"/>
  <c r="AB12" i="8"/>
  <c r="AB42" i="8" s="1"/>
  <c r="AB38" i="8" s="1"/>
  <c r="Q14" i="69"/>
  <c r="E14" i="24"/>
  <c r="E42" i="24" s="1"/>
  <c r="AC75" i="31"/>
  <c r="AA76" i="31" s="1"/>
  <c r="AB92" i="37"/>
  <c r="I11" i="29"/>
  <c r="I12" i="29"/>
  <c r="O26" i="24"/>
  <c r="P26" i="24" s="1"/>
  <c r="F26" i="24"/>
  <c r="D26" i="21" s="1"/>
  <c r="E49" i="24"/>
  <c r="O49" i="24" s="1"/>
  <c r="P49" i="24" s="1"/>
  <c r="E46" i="24"/>
  <c r="O46" i="24" s="1"/>
  <c r="P46" i="24" s="1"/>
  <c r="K21" i="2"/>
  <c r="C77" i="14"/>
  <c r="N2" i="14" s="1"/>
  <c r="E25" i="14"/>
  <c r="E32" i="14" s="1"/>
  <c r="Q11" i="21" s="1"/>
  <c r="J25" i="14"/>
  <c r="C15" i="3"/>
  <c r="N14" i="69"/>
  <c r="Q29" i="37"/>
  <c r="P76" i="37"/>
  <c r="AA16" i="37"/>
  <c r="I78" i="37"/>
  <c r="G52" i="9" s="1"/>
  <c r="K35" i="25" s="1"/>
  <c r="I76" i="37"/>
  <c r="Y76" i="37"/>
  <c r="Y78" i="37"/>
  <c r="G54" i="9" s="1"/>
  <c r="K37" i="25" s="1"/>
  <c r="AA36" i="68"/>
  <c r="AA354" i="68" s="1"/>
  <c r="F16" i="26"/>
  <c r="F12" i="26" s="1"/>
  <c r="L27" i="69"/>
  <c r="N27" i="69" s="1"/>
  <c r="T27" i="69" s="1"/>
  <c r="H38" i="8"/>
  <c r="H36" i="8" s="1"/>
  <c r="E14" i="26"/>
  <c r="E12" i="26" s="1"/>
  <c r="J84" i="13"/>
  <c r="G42" i="8"/>
  <c r="G40" i="8" s="1"/>
  <c r="Y38" i="8"/>
  <c r="Y40" i="8"/>
  <c r="I13" i="24"/>
  <c r="G13" i="21" s="1"/>
  <c r="I13" i="21" s="1"/>
  <c r="O28" i="12"/>
  <c r="E74" i="16"/>
  <c r="J76" i="16" s="1"/>
  <c r="E30" i="15"/>
  <c r="S11" i="21" s="1"/>
  <c r="K30" i="16"/>
  <c r="P77" i="14"/>
  <c r="R79" i="31"/>
  <c r="I79" i="31"/>
  <c r="Z40" i="8"/>
  <c r="Z36" i="8" s="1"/>
  <c r="I53" i="8"/>
  <c r="P74" i="12"/>
  <c r="Q74" i="12" s="1"/>
  <c r="D102" i="69"/>
  <c r="D104" i="69" s="1"/>
  <c r="I46" i="69"/>
  <c r="C47" i="3" s="1"/>
  <c r="I47" i="3" s="1"/>
  <c r="V33" i="69"/>
  <c r="R33" i="69"/>
  <c r="P33" i="2"/>
  <c r="N96" i="24"/>
  <c r="O34" i="24"/>
  <c r="P34" i="24" s="1"/>
  <c r="L45" i="13"/>
  <c r="T44" i="69"/>
  <c r="V44" i="69"/>
  <c r="L29" i="13"/>
  <c r="F13" i="24"/>
  <c r="D13" i="21" s="1"/>
  <c r="N49" i="69"/>
  <c r="R49" i="69" s="1"/>
  <c r="N27" i="2"/>
  <c r="P27" i="2" s="1"/>
  <c r="L34" i="13"/>
  <c r="E36" i="8"/>
  <c r="H12" i="26"/>
  <c r="D12" i="8"/>
  <c r="D18" i="26" s="1"/>
  <c r="R28" i="69"/>
  <c r="V28" i="69"/>
  <c r="T28" i="69"/>
  <c r="N42" i="3"/>
  <c r="D42" i="12"/>
  <c r="O59" i="12"/>
  <c r="D59" i="13"/>
  <c r="D33" i="13"/>
  <c r="O33" i="12"/>
  <c r="P41" i="12"/>
  <c r="Q41" i="12" s="1"/>
  <c r="P70" i="12"/>
  <c r="Q70" i="12" s="1"/>
  <c r="P65" i="12"/>
  <c r="Q65" i="12" s="1"/>
  <c r="F83" i="12"/>
  <c r="F84" i="12"/>
  <c r="P79" i="12"/>
  <c r="Q79" i="12" s="1"/>
  <c r="G79" i="12"/>
  <c r="D49" i="12"/>
  <c r="N49" i="3"/>
  <c r="N41" i="3"/>
  <c r="D41" i="12"/>
  <c r="N39" i="3"/>
  <c r="D39" i="12"/>
  <c r="D30" i="13"/>
  <c r="O30" i="12"/>
  <c r="K43" i="2"/>
  <c r="K43" i="69"/>
  <c r="N98" i="3"/>
  <c r="D98" i="12"/>
  <c r="R12" i="69"/>
  <c r="T12" i="69"/>
  <c r="V12" i="69"/>
  <c r="J28" i="13"/>
  <c r="G28" i="13"/>
  <c r="M79" i="69"/>
  <c r="M79" i="2"/>
  <c r="P101" i="12"/>
  <c r="Q101" i="12" s="1"/>
  <c r="J101" i="12"/>
  <c r="V40" i="8"/>
  <c r="V36" i="8" s="1"/>
  <c r="X14" i="8"/>
  <c r="X16" i="8"/>
  <c r="M51" i="69"/>
  <c r="M51" i="2"/>
  <c r="P69" i="12"/>
  <c r="Q69" i="12" s="1"/>
  <c r="G99" i="13"/>
  <c r="J99" i="13"/>
  <c r="K16" i="15"/>
  <c r="F46" i="3"/>
  <c r="I46" i="3"/>
  <c r="L46" i="3"/>
  <c r="R88" i="69"/>
  <c r="T88" i="69"/>
  <c r="V88" i="69"/>
  <c r="Z53" i="8"/>
  <c r="K40" i="2"/>
  <c r="K40" i="69"/>
  <c r="D39" i="25"/>
  <c r="E37" i="25" s="1"/>
  <c r="G11" i="25" s="1"/>
  <c r="N44" i="3"/>
  <c r="D44" i="12"/>
  <c r="N31" i="69"/>
  <c r="D48" i="13"/>
  <c r="O48" i="12"/>
  <c r="I33" i="24"/>
  <c r="G33" i="21" s="1"/>
  <c r="I33" i="21" s="1"/>
  <c r="F33" i="24"/>
  <c r="L33" i="24"/>
  <c r="J33" i="21" s="1"/>
  <c r="L33" i="21" s="1"/>
  <c r="L21" i="69"/>
  <c r="N17" i="69"/>
  <c r="O29" i="24"/>
  <c r="P29" i="24" s="1"/>
  <c r="G36" i="12"/>
  <c r="J36" i="12"/>
  <c r="M36" i="12"/>
  <c r="G55" i="13"/>
  <c r="J55" i="13"/>
  <c r="L79" i="2"/>
  <c r="L79" i="69"/>
  <c r="I83" i="12"/>
  <c r="I84" i="12"/>
  <c r="D52" i="13"/>
  <c r="O52" i="12"/>
  <c r="M32" i="69"/>
  <c r="M32" i="2"/>
  <c r="D48" i="25"/>
  <c r="E46" i="25" s="1"/>
  <c r="G12" i="25" s="1"/>
  <c r="D31" i="12"/>
  <c r="N31" i="3"/>
  <c r="D91" i="12"/>
  <c r="N91" i="3"/>
  <c r="J18" i="13"/>
  <c r="G18" i="13"/>
  <c r="P71" i="12"/>
  <c r="Q71" i="12" s="1"/>
  <c r="P67" i="12"/>
  <c r="Q67" i="12" s="1"/>
  <c r="P80" i="12"/>
  <c r="Q80" i="12" s="1"/>
  <c r="G80" i="12"/>
  <c r="P72" i="12"/>
  <c r="Q72" i="12" s="1"/>
  <c r="N63" i="3"/>
  <c r="D63" i="12"/>
  <c r="O54" i="24"/>
  <c r="P54" i="24" s="1"/>
  <c r="E15" i="24"/>
  <c r="Q15" i="69"/>
  <c r="D39" i="29"/>
  <c r="J30" i="15"/>
  <c r="C88" i="21"/>
  <c r="C88" i="24" s="1"/>
  <c r="P88" i="2"/>
  <c r="D94" i="12"/>
  <c r="N94" i="3"/>
  <c r="J20" i="13"/>
  <c r="G20" i="13"/>
  <c r="O55" i="24"/>
  <c r="P55" i="24" s="1"/>
  <c r="F55" i="24"/>
  <c r="M29" i="2"/>
  <c r="M29" i="69"/>
  <c r="G50" i="13"/>
  <c r="J50" i="13"/>
  <c r="M21" i="2"/>
  <c r="N16" i="2"/>
  <c r="D61" i="12"/>
  <c r="N61" i="3"/>
  <c r="J26" i="12"/>
  <c r="M26" i="12"/>
  <c r="F13" i="69"/>
  <c r="F15" i="69"/>
  <c r="F12" i="69"/>
  <c r="F14" i="69"/>
  <c r="F11" i="69"/>
  <c r="F17" i="69"/>
  <c r="F16" i="69"/>
  <c r="D29" i="25"/>
  <c r="E27" i="25" s="1"/>
  <c r="G10" i="25" s="1"/>
  <c r="O14" i="12"/>
  <c r="D14" i="13"/>
  <c r="N54" i="69"/>
  <c r="L84" i="12"/>
  <c r="L83" i="12"/>
  <c r="N31" i="2"/>
  <c r="M47" i="69"/>
  <c r="M47" i="2"/>
  <c r="D93" i="12"/>
  <c r="N93" i="3"/>
  <c r="H15" i="24"/>
  <c r="S15" i="69"/>
  <c r="G16" i="26"/>
  <c r="G14" i="26"/>
  <c r="M62" i="12"/>
  <c r="L51" i="69"/>
  <c r="L51" i="2"/>
  <c r="P44" i="2"/>
  <c r="C44" i="21"/>
  <c r="C44" i="24" s="1"/>
  <c r="I61" i="12"/>
  <c r="I62" i="12"/>
  <c r="J62" i="12" s="1"/>
  <c r="F26" i="12"/>
  <c r="G26" i="12" s="1"/>
  <c r="I39" i="12"/>
  <c r="I98" i="12"/>
  <c r="I63" i="12"/>
  <c r="I91" i="12"/>
  <c r="I31" i="12"/>
  <c r="F31" i="12" s="1"/>
  <c r="P31" i="12" s="1"/>
  <c r="Q31" i="12" s="1"/>
  <c r="F18" i="21"/>
  <c r="O18" i="21"/>
  <c r="W16" i="8"/>
  <c r="W14" i="8"/>
  <c r="J32" i="13"/>
  <c r="G32" i="13"/>
  <c r="O44" i="3"/>
  <c r="P44" i="3" s="1"/>
  <c r="P12" i="2"/>
  <c r="C12" i="21"/>
  <c r="L58" i="69"/>
  <c r="L58" i="2"/>
  <c r="R52" i="69"/>
  <c r="J54" i="12"/>
  <c r="G54" i="12"/>
  <c r="M54" i="12"/>
  <c r="P81" i="12"/>
  <c r="Q81" i="12" s="1"/>
  <c r="G81" i="12"/>
  <c r="P78" i="12"/>
  <c r="Q78" i="12" s="1"/>
  <c r="F67" i="13"/>
  <c r="M66" i="13"/>
  <c r="M100" i="2"/>
  <c r="M100" i="69"/>
  <c r="H25" i="26"/>
  <c r="H29" i="26" s="1"/>
  <c r="E29" i="26"/>
  <c r="C16" i="3"/>
  <c r="N15" i="69"/>
  <c r="AF31" i="31"/>
  <c r="AF77" i="31" s="1"/>
  <c r="AF85" i="31" s="1"/>
  <c r="AG85" i="31" s="1"/>
  <c r="AE75" i="31"/>
  <c r="M78" i="69"/>
  <c r="M78" i="2"/>
  <c r="I18" i="26"/>
  <c r="I42" i="8"/>
  <c r="K41" i="2"/>
  <c r="K41" i="69"/>
  <c r="J87" i="13"/>
  <c r="G87" i="13"/>
  <c r="M58" i="2"/>
  <c r="M58" i="69"/>
  <c r="L78" i="69"/>
  <c r="L78" i="2"/>
  <c r="L80" i="69"/>
  <c r="L80" i="2"/>
  <c r="L32" i="69"/>
  <c r="L32" i="2"/>
  <c r="P66" i="12"/>
  <c r="Q66" i="12" s="1"/>
  <c r="P77" i="12"/>
  <c r="Q77" i="12" s="1"/>
  <c r="P68" i="12"/>
  <c r="Q68" i="12" s="1"/>
  <c r="I46" i="13"/>
  <c r="M46" i="13" s="1"/>
  <c r="N46" i="13" s="1"/>
  <c r="I46" i="12"/>
  <c r="P46" i="12" s="1"/>
  <c r="Q46" i="12" s="1"/>
  <c r="Y54" i="69"/>
  <c r="C28" i="21"/>
  <c r="C28" i="24" s="1"/>
  <c r="P28" i="2"/>
  <c r="J17" i="13"/>
  <c r="G17" i="13"/>
  <c r="N15" i="2"/>
  <c r="L29" i="2"/>
  <c r="L29" i="69"/>
  <c r="F96" i="13"/>
  <c r="M96" i="13" s="1"/>
  <c r="N96" i="13" s="1"/>
  <c r="M82" i="13"/>
  <c r="N82" i="13" s="1"/>
  <c r="M21" i="69"/>
  <c r="N16" i="69"/>
  <c r="J19" i="13"/>
  <c r="G19" i="13"/>
  <c r="J46" i="2"/>
  <c r="N54" i="2"/>
  <c r="M80" i="2"/>
  <c r="M80" i="69"/>
  <c r="N49" i="2"/>
  <c r="L47" i="69"/>
  <c r="L47" i="2"/>
  <c r="L21" i="2"/>
  <c r="N17" i="2"/>
  <c r="F82" i="12"/>
  <c r="P82" i="12" s="1"/>
  <c r="Q82" i="12" s="1"/>
  <c r="P75" i="12"/>
  <c r="Q75" i="12" s="1"/>
  <c r="C34" i="24"/>
  <c r="C36" i="24"/>
  <c r="F57" i="21"/>
  <c r="O57" i="21"/>
  <c r="F96" i="21"/>
  <c r="O96" i="21"/>
  <c r="F85" i="2"/>
  <c r="C191" i="7" s="1"/>
  <c r="D26" i="43"/>
  <c r="I85" i="69"/>
  <c r="E102" i="69"/>
  <c r="D92" i="12"/>
  <c r="N92" i="3"/>
  <c r="L75" i="69" l="1"/>
  <c r="L75" i="2"/>
  <c r="M75" i="2"/>
  <c r="M75" i="69"/>
  <c r="Y52" i="69"/>
  <c r="O76" i="12"/>
  <c r="D39" i="7"/>
  <c r="H35" i="7"/>
  <c r="N35" i="7"/>
  <c r="M42" i="2"/>
  <c r="M42" i="69"/>
  <c r="L42" i="69"/>
  <c r="L42" i="2"/>
  <c r="N42" i="2" s="1"/>
  <c r="C42" i="21" s="1"/>
  <c r="C42" i="24" s="1"/>
  <c r="F42" i="24" s="1"/>
  <c r="O43" i="12"/>
  <c r="D43" i="13"/>
  <c r="R14" i="69"/>
  <c r="J13" i="13"/>
  <c r="L13" i="13" s="1"/>
  <c r="O52" i="24"/>
  <c r="P52" i="24" s="1"/>
  <c r="AB40" i="8"/>
  <c r="AB36" i="8" s="1"/>
  <c r="N26" i="24"/>
  <c r="K25" i="14"/>
  <c r="F40" i="8"/>
  <c r="F36" i="8" s="1"/>
  <c r="F14" i="24"/>
  <c r="D14" i="21" s="1"/>
  <c r="R14" i="21" s="1"/>
  <c r="R76" i="31"/>
  <c r="I76" i="31"/>
  <c r="J32" i="14"/>
  <c r="J77" i="14" s="1"/>
  <c r="U14" i="69"/>
  <c r="V14" i="69" s="1"/>
  <c r="U42" i="69"/>
  <c r="K14" i="24"/>
  <c r="S42" i="69"/>
  <c r="H42" i="24"/>
  <c r="S14" i="69"/>
  <c r="H14" i="24"/>
  <c r="I14" i="29"/>
  <c r="G38" i="8"/>
  <c r="G36" i="8" s="1"/>
  <c r="L15" i="3"/>
  <c r="F15" i="3"/>
  <c r="I15" i="3"/>
  <c r="AA29" i="37"/>
  <c r="AB32" i="37" s="1"/>
  <c r="Q78" i="37"/>
  <c r="G53" i="9" s="1"/>
  <c r="K36" i="25" s="1"/>
  <c r="K39" i="25" s="1"/>
  <c r="L37" i="25" s="1"/>
  <c r="U11" i="69" s="1"/>
  <c r="Q76" i="37"/>
  <c r="AC38" i="8"/>
  <c r="AC40" i="8"/>
  <c r="T49" i="69"/>
  <c r="Y36" i="8"/>
  <c r="W12" i="8"/>
  <c r="W42" i="8" s="1"/>
  <c r="W40" i="8" s="1"/>
  <c r="E74" i="15"/>
  <c r="J2" i="16"/>
  <c r="K2" i="16" s="1"/>
  <c r="K76" i="16"/>
  <c r="K1" i="21" s="1"/>
  <c r="E77" i="14"/>
  <c r="P79" i="14" s="1"/>
  <c r="G18" i="25"/>
  <c r="E25" i="25"/>
  <c r="E10" i="25" s="1"/>
  <c r="E44" i="25"/>
  <c r="E12" i="25" s="1"/>
  <c r="E35" i="25"/>
  <c r="E11" i="25" s="1"/>
  <c r="F47" i="3"/>
  <c r="D47" i="12" s="1"/>
  <c r="L47" i="3"/>
  <c r="K46" i="69" s="1"/>
  <c r="O15" i="24"/>
  <c r="P15" i="24" s="1"/>
  <c r="N13" i="24"/>
  <c r="V49" i="69"/>
  <c r="N29" i="69"/>
  <c r="R29" i="69" s="1"/>
  <c r="N78" i="69"/>
  <c r="V27" i="69"/>
  <c r="C27" i="21"/>
  <c r="C27" i="24" s="1"/>
  <c r="F27" i="24" s="1"/>
  <c r="N58" i="69"/>
  <c r="T58" i="69" s="1"/>
  <c r="N51" i="69"/>
  <c r="T51" i="69" s="1"/>
  <c r="R27" i="69"/>
  <c r="L99" i="13"/>
  <c r="L87" i="13"/>
  <c r="N78" i="2"/>
  <c r="P78" i="2" s="1"/>
  <c r="N80" i="2"/>
  <c r="P80" i="2" s="1"/>
  <c r="D52" i="21"/>
  <c r="F52" i="21" s="1"/>
  <c r="N47" i="69"/>
  <c r="R47" i="69" s="1"/>
  <c r="N29" i="2"/>
  <c r="P29" i="2" s="1"/>
  <c r="N80" i="69"/>
  <c r="L18" i="13"/>
  <c r="L17" i="13"/>
  <c r="L28" i="13"/>
  <c r="G12" i="26"/>
  <c r="X12" i="8"/>
  <c r="X42" i="8" s="1"/>
  <c r="X38" i="8" s="1"/>
  <c r="C86" i="3"/>
  <c r="P12" i="25"/>
  <c r="Q12" i="25"/>
  <c r="D54" i="13"/>
  <c r="O54" i="12"/>
  <c r="N55" i="24"/>
  <c r="D55" i="21"/>
  <c r="F88" i="24"/>
  <c r="L88" i="24"/>
  <c r="J88" i="21" s="1"/>
  <c r="L88" i="21" s="1"/>
  <c r="I88" i="24"/>
  <c r="G88" i="21" s="1"/>
  <c r="I88" i="21" s="1"/>
  <c r="J63" i="12"/>
  <c r="M63" i="12"/>
  <c r="R31" i="69"/>
  <c r="V31" i="69"/>
  <c r="T31" i="69"/>
  <c r="M49" i="12"/>
  <c r="J49" i="12"/>
  <c r="G49" i="12"/>
  <c r="P84" i="12"/>
  <c r="Q84" i="12" s="1"/>
  <c r="G59" i="13"/>
  <c r="J59" i="13"/>
  <c r="T16" i="69"/>
  <c r="R16" i="69"/>
  <c r="V16" i="69"/>
  <c r="D79" i="13"/>
  <c r="O81" i="12"/>
  <c r="L53" i="69"/>
  <c r="L53" i="2"/>
  <c r="L61" i="2"/>
  <c r="L61" i="69"/>
  <c r="O26" i="12"/>
  <c r="D26" i="13"/>
  <c r="K30" i="15"/>
  <c r="J74" i="15"/>
  <c r="M31" i="12"/>
  <c r="G31" i="12"/>
  <c r="J31" i="12"/>
  <c r="L55" i="13"/>
  <c r="D36" i="13"/>
  <c r="O36" i="12"/>
  <c r="J48" i="13"/>
  <c r="G48" i="13"/>
  <c r="J98" i="12"/>
  <c r="M98" i="12"/>
  <c r="M41" i="12"/>
  <c r="J41" i="12"/>
  <c r="G41" i="12"/>
  <c r="P83" i="12"/>
  <c r="Q83" i="12" s="1"/>
  <c r="E26" i="25"/>
  <c r="F10" i="25" s="1"/>
  <c r="N32" i="2"/>
  <c r="I40" i="8"/>
  <c r="I38" i="8"/>
  <c r="V15" i="69"/>
  <c r="T15" i="69"/>
  <c r="R15" i="69"/>
  <c r="P26" i="12"/>
  <c r="Q26" i="12" s="1"/>
  <c r="F39" i="12"/>
  <c r="P39" i="12" s="1"/>
  <c r="Q39" i="12" s="1"/>
  <c r="F91" i="12"/>
  <c r="P91" i="12" s="1"/>
  <c r="Q91" i="12" s="1"/>
  <c r="F98" i="12"/>
  <c r="P98" i="12" s="1"/>
  <c r="Q98" i="12" s="1"/>
  <c r="F63" i="12"/>
  <c r="P63" i="12" s="1"/>
  <c r="Q63" i="12" s="1"/>
  <c r="F61" i="12"/>
  <c r="P61" i="12" s="1"/>
  <c r="Q61" i="12" s="1"/>
  <c r="F62" i="12"/>
  <c r="G14" i="13"/>
  <c r="J14" i="13"/>
  <c r="M25" i="69"/>
  <c r="M25" i="2"/>
  <c r="C16" i="21"/>
  <c r="P16" i="2"/>
  <c r="N79" i="69"/>
  <c r="V17" i="69"/>
  <c r="T17" i="69"/>
  <c r="R17" i="69"/>
  <c r="N33" i="24"/>
  <c r="D33" i="21"/>
  <c r="G30" i="13"/>
  <c r="J30" i="13"/>
  <c r="D77" i="13"/>
  <c r="O79" i="12"/>
  <c r="J33" i="13"/>
  <c r="G33" i="13"/>
  <c r="J42" i="12"/>
  <c r="M42" i="12"/>
  <c r="G42" i="12"/>
  <c r="P54" i="2"/>
  <c r="C54" i="21"/>
  <c r="C54" i="24" s="1"/>
  <c r="L54" i="24" s="1"/>
  <c r="J54" i="21" s="1"/>
  <c r="L54" i="21" s="1"/>
  <c r="C12" i="24"/>
  <c r="P31" i="2"/>
  <c r="C31" i="21"/>
  <c r="O80" i="12"/>
  <c r="D78" i="13"/>
  <c r="L35" i="69"/>
  <c r="L35" i="2"/>
  <c r="D46" i="12"/>
  <c r="N46" i="3"/>
  <c r="L28" i="24"/>
  <c r="J28" i="21" s="1"/>
  <c r="L28" i="21" s="1"/>
  <c r="F28" i="24"/>
  <c r="I28" i="24"/>
  <c r="G28" i="21" s="1"/>
  <c r="I28" i="21" s="1"/>
  <c r="F68" i="13"/>
  <c r="M67" i="13"/>
  <c r="N67" i="13" s="1"/>
  <c r="I44" i="24"/>
  <c r="G44" i="21" s="1"/>
  <c r="I44" i="21" s="1"/>
  <c r="F44" i="24"/>
  <c r="L44" i="24"/>
  <c r="J44" i="21" s="1"/>
  <c r="L44" i="21" s="1"/>
  <c r="N47" i="2"/>
  <c r="J61" i="12"/>
  <c r="M61" i="12"/>
  <c r="L50" i="13"/>
  <c r="P17" i="2"/>
  <c r="C17" i="21"/>
  <c r="C49" i="21"/>
  <c r="C49" i="24" s="1"/>
  <c r="P49" i="2"/>
  <c r="L19" i="13"/>
  <c r="O12" i="25"/>
  <c r="C15" i="21"/>
  <c r="C15" i="24" s="1"/>
  <c r="P15" i="2"/>
  <c r="N32" i="69"/>
  <c r="I16" i="26"/>
  <c r="I14" i="26"/>
  <c r="I16" i="3"/>
  <c r="F16" i="3"/>
  <c r="L16" i="3"/>
  <c r="M53" i="2"/>
  <c r="M53" i="69"/>
  <c r="N58" i="2"/>
  <c r="L32" i="13"/>
  <c r="N51" i="2"/>
  <c r="M61" i="2"/>
  <c r="M61" i="69"/>
  <c r="T54" i="69"/>
  <c r="R54" i="69"/>
  <c r="V54" i="69"/>
  <c r="E36" i="25"/>
  <c r="F11" i="25" s="1"/>
  <c r="L25" i="69"/>
  <c r="L25" i="2"/>
  <c r="L20" i="13"/>
  <c r="Y15" i="69"/>
  <c r="J91" i="12"/>
  <c r="M91" i="12"/>
  <c r="J52" i="13"/>
  <c r="G52" i="13"/>
  <c r="N79" i="2"/>
  <c r="M35" i="2"/>
  <c r="M35" i="69"/>
  <c r="E45" i="25"/>
  <c r="F12" i="25" s="1"/>
  <c r="J44" i="12"/>
  <c r="M44" i="12"/>
  <c r="G44" i="12"/>
  <c r="K45" i="69"/>
  <c r="K45" i="2"/>
  <c r="L100" i="2"/>
  <c r="N100" i="2" s="1"/>
  <c r="L100" i="69"/>
  <c r="N100" i="69" s="1"/>
  <c r="O101" i="12"/>
  <c r="M39" i="12"/>
  <c r="J39" i="12"/>
  <c r="L36" i="24"/>
  <c r="J36" i="21" s="1"/>
  <c r="L36" i="21" s="1"/>
  <c r="F36" i="24"/>
  <c r="I36" i="24"/>
  <c r="G36" i="21" s="1"/>
  <c r="I36" i="21" s="1"/>
  <c r="F26" i="21"/>
  <c r="O26" i="21"/>
  <c r="F34" i="24"/>
  <c r="L34" i="24"/>
  <c r="J34" i="21" s="1"/>
  <c r="L34" i="21" s="1"/>
  <c r="I34" i="24"/>
  <c r="G34" i="21" s="1"/>
  <c r="I34" i="21" s="1"/>
  <c r="F13" i="21"/>
  <c r="O13" i="21"/>
  <c r="F102" i="2"/>
  <c r="F106" i="2" s="1"/>
  <c r="J85" i="2"/>
  <c r="D42" i="8"/>
  <c r="D36" i="8" s="1"/>
  <c r="C108" i="69"/>
  <c r="E108" i="69" s="1"/>
  <c r="I108" i="69" s="1"/>
  <c r="U16" i="8"/>
  <c r="U14" i="8"/>
  <c r="AD18" i="8"/>
  <c r="C108" i="2" s="1"/>
  <c r="F108" i="2" s="1"/>
  <c r="J108" i="2" s="1"/>
  <c r="E104" i="69"/>
  <c r="E106" i="69"/>
  <c r="D208" i="7"/>
  <c r="F191" i="7"/>
  <c r="F208" i="7" s="1"/>
  <c r="F210" i="7" s="1"/>
  <c r="F223" i="7" s="1"/>
  <c r="F225" i="7" s="1"/>
  <c r="D16" i="26"/>
  <c r="D14" i="26"/>
  <c r="J92" i="12"/>
  <c r="G92" i="12"/>
  <c r="M92" i="12"/>
  <c r="N42" i="69" l="1"/>
  <c r="R42" i="69" s="1"/>
  <c r="K32" i="14"/>
  <c r="P42" i="2"/>
  <c r="I42" i="24"/>
  <c r="G42" i="21" s="1"/>
  <c r="I42" i="21" s="1"/>
  <c r="N39" i="7"/>
  <c r="P39" i="7" s="1"/>
  <c r="P47" i="7" s="1"/>
  <c r="D47" i="7"/>
  <c r="N47" i="7" s="1"/>
  <c r="D210" i="7"/>
  <c r="H210" i="7" s="1"/>
  <c r="I210" i="7" s="1"/>
  <c r="O145" i="7"/>
  <c r="J43" i="13"/>
  <c r="G43" i="13"/>
  <c r="Y14" i="69"/>
  <c r="Y42" i="69"/>
  <c r="I14" i="24"/>
  <c r="O14" i="24"/>
  <c r="P14" i="24" s="1"/>
  <c r="K42" i="24"/>
  <c r="L14" i="24"/>
  <c r="J14" i="21" s="1"/>
  <c r="V14" i="21" s="1"/>
  <c r="T14" i="69"/>
  <c r="T42" i="69"/>
  <c r="D15" i="12"/>
  <c r="N15" i="3"/>
  <c r="L36" i="25"/>
  <c r="H11" i="24" s="1"/>
  <c r="K11" i="24"/>
  <c r="AB78" i="37"/>
  <c r="AB76" i="37"/>
  <c r="H54" i="9"/>
  <c r="H11" i="2" s="1"/>
  <c r="L35" i="25"/>
  <c r="Q11" i="69" s="1"/>
  <c r="C29" i="21"/>
  <c r="AC36" i="8"/>
  <c r="W38" i="8"/>
  <c r="W36" i="8" s="1"/>
  <c r="K78" i="16"/>
  <c r="J76" i="15"/>
  <c r="J2" i="15" s="1"/>
  <c r="K2" i="15" s="1"/>
  <c r="J79" i="14"/>
  <c r="K2" i="14" s="1"/>
  <c r="E48" i="25"/>
  <c r="F18" i="25"/>
  <c r="I12" i="26"/>
  <c r="G61" i="12"/>
  <c r="O61" i="12" s="1"/>
  <c r="G98" i="12"/>
  <c r="O98" i="12" s="1"/>
  <c r="I36" i="8"/>
  <c r="G39" i="12"/>
  <c r="D39" i="13" s="1"/>
  <c r="K46" i="2"/>
  <c r="N47" i="3"/>
  <c r="V29" i="69"/>
  <c r="T29" i="69"/>
  <c r="G63" i="12"/>
  <c r="D63" i="13" s="1"/>
  <c r="C78" i="21"/>
  <c r="C78" i="24" s="1"/>
  <c r="I27" i="24"/>
  <c r="G27" i="21" s="1"/>
  <c r="I27" i="21" s="1"/>
  <c r="L27" i="24"/>
  <c r="J27" i="21" s="1"/>
  <c r="L27" i="21" s="1"/>
  <c r="V51" i="69"/>
  <c r="R51" i="69"/>
  <c r="L48" i="13"/>
  <c r="O52" i="21"/>
  <c r="I54" i="24"/>
  <c r="G54" i="21" s="1"/>
  <c r="I54" i="21" s="1"/>
  <c r="L30" i="13"/>
  <c r="C80" i="21"/>
  <c r="C80" i="24" s="1"/>
  <c r="R58" i="69"/>
  <c r="V58" i="69"/>
  <c r="N25" i="69"/>
  <c r="R25" i="69" s="1"/>
  <c r="N25" i="2"/>
  <c r="P25" i="2" s="1"/>
  <c r="L59" i="13"/>
  <c r="N53" i="69"/>
  <c r="T53" i="69" s="1"/>
  <c r="T47" i="69"/>
  <c r="F54" i="24"/>
  <c r="D54" i="21" s="1"/>
  <c r="N53" i="2"/>
  <c r="P53" i="2" s="1"/>
  <c r="V47" i="69"/>
  <c r="X40" i="8"/>
  <c r="X36" i="8" s="1"/>
  <c r="P100" i="2"/>
  <c r="C100" i="21"/>
  <c r="O44" i="12"/>
  <c r="D44" i="13"/>
  <c r="L90" i="69"/>
  <c r="L90" i="2"/>
  <c r="C51" i="21"/>
  <c r="P51" i="2"/>
  <c r="O17" i="21"/>
  <c r="C17" i="24"/>
  <c r="N44" i="24"/>
  <c r="D44" i="21"/>
  <c r="N28" i="24"/>
  <c r="D28" i="21"/>
  <c r="C31" i="24"/>
  <c r="P62" i="12"/>
  <c r="Q62" i="12" s="1"/>
  <c r="G62" i="12"/>
  <c r="L40" i="69"/>
  <c r="L40" i="2"/>
  <c r="M30" i="2"/>
  <c r="M30" i="69"/>
  <c r="G47" i="12"/>
  <c r="J47" i="12"/>
  <c r="M47" i="12"/>
  <c r="M38" i="2"/>
  <c r="M38" i="69"/>
  <c r="M43" i="69"/>
  <c r="M43" i="2"/>
  <c r="N16" i="3"/>
  <c r="D16" i="12"/>
  <c r="L60" i="69"/>
  <c r="L60" i="2"/>
  <c r="M41" i="2"/>
  <c r="M41" i="69"/>
  <c r="O33" i="21"/>
  <c r="F33" i="21"/>
  <c r="D27" i="21"/>
  <c r="M40" i="2"/>
  <c r="M40" i="69"/>
  <c r="L43" i="69"/>
  <c r="L43" i="2"/>
  <c r="C79" i="21"/>
  <c r="C79" i="24" s="1"/>
  <c r="P79" i="2"/>
  <c r="P47" i="2"/>
  <c r="C47" i="21"/>
  <c r="N35" i="2"/>
  <c r="E29" i="25"/>
  <c r="F12" i="24"/>
  <c r="I12" i="24"/>
  <c r="G12" i="21" s="1"/>
  <c r="I12" i="21" s="1"/>
  <c r="L12" i="24"/>
  <c r="L41" i="69"/>
  <c r="L41" i="2"/>
  <c r="G77" i="13"/>
  <c r="J77" i="13"/>
  <c r="K14" i="21"/>
  <c r="U11" i="2"/>
  <c r="U14" i="2"/>
  <c r="P32" i="2"/>
  <c r="C32" i="21"/>
  <c r="M97" i="69"/>
  <c r="M97" i="2"/>
  <c r="L30" i="2"/>
  <c r="L30" i="69"/>
  <c r="N61" i="69"/>
  <c r="D49" i="13"/>
  <c r="O49" i="12"/>
  <c r="E39" i="25"/>
  <c r="M62" i="69"/>
  <c r="M62" i="2"/>
  <c r="N88" i="24"/>
  <c r="D88" i="21"/>
  <c r="G54" i="13"/>
  <c r="J54" i="13"/>
  <c r="P58" i="2"/>
  <c r="C58" i="21"/>
  <c r="F69" i="13"/>
  <c r="M68" i="13"/>
  <c r="N68" i="13" s="1"/>
  <c r="G78" i="13"/>
  <c r="J78" i="13"/>
  <c r="D42" i="13"/>
  <c r="O42" i="12"/>
  <c r="O16" i="21"/>
  <c r="C16" i="24"/>
  <c r="J36" i="13"/>
  <c r="G36" i="13"/>
  <c r="M48" i="69"/>
  <c r="M48" i="2"/>
  <c r="G91" i="12"/>
  <c r="J46" i="12"/>
  <c r="G46" i="12"/>
  <c r="M46" i="12"/>
  <c r="D42" i="21"/>
  <c r="L38" i="2"/>
  <c r="L38" i="69"/>
  <c r="L52" i="13"/>
  <c r="M90" i="2"/>
  <c r="M90" i="69"/>
  <c r="R32" i="69"/>
  <c r="V32" i="69"/>
  <c r="T32" i="69"/>
  <c r="F15" i="24"/>
  <c r="I15" i="24"/>
  <c r="G15" i="21" s="1"/>
  <c r="I15" i="21" s="1"/>
  <c r="L15" i="24"/>
  <c r="J15" i="21" s="1"/>
  <c r="L15" i="21" s="1"/>
  <c r="F49" i="24"/>
  <c r="I49" i="24"/>
  <c r="G49" i="21" s="1"/>
  <c r="I49" i="21" s="1"/>
  <c r="L49" i="24"/>
  <c r="J49" i="21" s="1"/>
  <c r="L49" i="21" s="1"/>
  <c r="M60" i="2"/>
  <c r="M60" i="69"/>
  <c r="C29" i="24"/>
  <c r="N35" i="69"/>
  <c r="E18" i="25"/>
  <c r="L33" i="13"/>
  <c r="L14" i="13"/>
  <c r="D41" i="13"/>
  <c r="O41" i="12"/>
  <c r="L97" i="69"/>
  <c r="L97" i="2"/>
  <c r="D31" i="13"/>
  <c r="O31" i="12"/>
  <c r="G26" i="13"/>
  <c r="J26" i="13"/>
  <c r="N61" i="2"/>
  <c r="L48" i="69"/>
  <c r="L48" i="2"/>
  <c r="L62" i="2"/>
  <c r="L62" i="69"/>
  <c r="O55" i="21"/>
  <c r="F55" i="21"/>
  <c r="D36" i="21"/>
  <c r="N36" i="24"/>
  <c r="D34" i="21"/>
  <c r="N34" i="24"/>
  <c r="F104" i="2"/>
  <c r="D12" i="26"/>
  <c r="U12" i="8"/>
  <c r="D90" i="13"/>
  <c r="O92" i="12"/>
  <c r="L91" i="2"/>
  <c r="L91" i="69"/>
  <c r="M91" i="69"/>
  <c r="M91" i="2"/>
  <c r="H4" i="14" l="1"/>
  <c r="H3" i="14"/>
  <c r="V42" i="69"/>
  <c r="L43" i="13"/>
  <c r="S11" i="69"/>
  <c r="Y11" i="69" s="1"/>
  <c r="D223" i="7"/>
  <c r="D225" i="7" s="1"/>
  <c r="L14" i="21"/>
  <c r="O42" i="24"/>
  <c r="P42" i="24" s="1"/>
  <c r="L42" i="24"/>
  <c r="G14" i="21"/>
  <c r="N14" i="24"/>
  <c r="L39" i="25"/>
  <c r="H11" i="69"/>
  <c r="I11" i="69" s="1"/>
  <c r="E11" i="24"/>
  <c r="O11" i="24" s="1"/>
  <c r="P11" i="24" s="1"/>
  <c r="M15" i="12"/>
  <c r="J15" i="12"/>
  <c r="G15" i="12"/>
  <c r="J11" i="2"/>
  <c r="H21" i="2"/>
  <c r="H42" i="9" s="1"/>
  <c r="I44" i="9" s="1"/>
  <c r="F73" i="3"/>
  <c r="D73" i="12" s="1"/>
  <c r="K76" i="15"/>
  <c r="K78" i="15" s="1"/>
  <c r="K79" i="14"/>
  <c r="E1" i="21" s="1"/>
  <c r="D61" i="13"/>
  <c r="J61" i="13" s="1"/>
  <c r="C25" i="21"/>
  <c r="C25" i="24" s="1"/>
  <c r="O63" i="12"/>
  <c r="D96" i="13"/>
  <c r="J96" i="13" s="1"/>
  <c r="O39" i="12"/>
  <c r="N37" i="69"/>
  <c r="V37" i="69" s="1"/>
  <c r="N37" i="2"/>
  <c r="N97" i="69"/>
  <c r="V97" i="69" s="1"/>
  <c r="N27" i="24"/>
  <c r="N48" i="69"/>
  <c r="R48" i="69" s="1"/>
  <c r="N43" i="2"/>
  <c r="P43" i="2" s="1"/>
  <c r="N62" i="69"/>
  <c r="R62" i="69" s="1"/>
  <c r="V25" i="69"/>
  <c r="T25" i="69"/>
  <c r="N97" i="2"/>
  <c r="P97" i="2" s="1"/>
  <c r="N90" i="69"/>
  <c r="T90" i="69" s="1"/>
  <c r="N54" i="24"/>
  <c r="V53" i="69"/>
  <c r="N43" i="69"/>
  <c r="T43" i="69" s="1"/>
  <c r="N30" i="69"/>
  <c r="R30" i="69" s="1"/>
  <c r="N30" i="2"/>
  <c r="P30" i="2" s="1"/>
  <c r="L54" i="13"/>
  <c r="N41" i="69"/>
  <c r="T41" i="69" s="1"/>
  <c r="L78" i="13"/>
  <c r="R53" i="69"/>
  <c r="L26" i="13"/>
  <c r="L77" i="13"/>
  <c r="C53" i="21"/>
  <c r="C53" i="24" s="1"/>
  <c r="F29" i="24"/>
  <c r="L29" i="24"/>
  <c r="J29" i="21" s="1"/>
  <c r="L29" i="21" s="1"/>
  <c r="I29" i="24"/>
  <c r="G29" i="21" s="1"/>
  <c r="I29" i="21" s="1"/>
  <c r="N15" i="24"/>
  <c r="D15" i="21"/>
  <c r="J42" i="13"/>
  <c r="G42" i="13"/>
  <c r="D49" i="21"/>
  <c r="N49" i="24"/>
  <c r="T35" i="69"/>
  <c r="V35" i="69"/>
  <c r="R35" i="69"/>
  <c r="N38" i="69"/>
  <c r="O46" i="12"/>
  <c r="D46" i="13"/>
  <c r="N62" i="2"/>
  <c r="G49" i="13"/>
  <c r="J49" i="13"/>
  <c r="N60" i="2"/>
  <c r="N40" i="2"/>
  <c r="F31" i="24"/>
  <c r="I31" i="24"/>
  <c r="G31" i="21" s="1"/>
  <c r="I31" i="21" s="1"/>
  <c r="L31" i="24"/>
  <c r="J31" i="21" s="1"/>
  <c r="L31" i="21" s="1"/>
  <c r="C51" i="24"/>
  <c r="C100" i="24"/>
  <c r="O88" i="21"/>
  <c r="F88" i="21"/>
  <c r="C32" i="24"/>
  <c r="C47" i="24"/>
  <c r="O27" i="21"/>
  <c r="F27" i="21"/>
  <c r="M16" i="12"/>
  <c r="G16" i="12"/>
  <c r="J16" i="12"/>
  <c r="L46" i="2"/>
  <c r="L46" i="69"/>
  <c r="P61" i="2"/>
  <c r="C61" i="21"/>
  <c r="G31" i="13"/>
  <c r="J31" i="13"/>
  <c r="J41" i="13"/>
  <c r="G41" i="13"/>
  <c r="H18" i="25"/>
  <c r="M45" i="2"/>
  <c r="M45" i="69"/>
  <c r="F16" i="24"/>
  <c r="L16" i="24"/>
  <c r="I16" i="24"/>
  <c r="F70" i="13"/>
  <c r="M69" i="13"/>
  <c r="N69" i="13" s="1"/>
  <c r="D12" i="21"/>
  <c r="N12" i="24"/>
  <c r="G63" i="13"/>
  <c r="J63" i="13"/>
  <c r="N41" i="2"/>
  <c r="D47" i="13"/>
  <c r="O47" i="12"/>
  <c r="O62" i="12"/>
  <c r="D62" i="13"/>
  <c r="O44" i="21"/>
  <c r="F44" i="21"/>
  <c r="G44" i="13"/>
  <c r="J44" i="13"/>
  <c r="N48" i="2"/>
  <c r="N38" i="2"/>
  <c r="F42" i="21"/>
  <c r="L45" i="69"/>
  <c r="L45" i="2"/>
  <c r="O91" i="12"/>
  <c r="D89" i="13"/>
  <c r="L36" i="13"/>
  <c r="C58" i="24"/>
  <c r="G39" i="13"/>
  <c r="J39" i="13"/>
  <c r="T61" i="69"/>
  <c r="V61" i="69"/>
  <c r="R61" i="69"/>
  <c r="J12" i="21"/>
  <c r="C35" i="21"/>
  <c r="P35" i="2"/>
  <c r="N60" i="69"/>
  <c r="M46" i="2"/>
  <c r="M46" i="69"/>
  <c r="N40" i="69"/>
  <c r="O28" i="21"/>
  <c r="F28" i="21"/>
  <c r="F17" i="24"/>
  <c r="I17" i="24"/>
  <c r="L17" i="24"/>
  <c r="N90" i="2"/>
  <c r="F34" i="21"/>
  <c r="O34" i="21"/>
  <c r="F54" i="21"/>
  <c r="O54" i="21"/>
  <c r="F36" i="21"/>
  <c r="O36" i="21"/>
  <c r="U42" i="8"/>
  <c r="N91" i="69"/>
  <c r="J90" i="13"/>
  <c r="G90" i="13"/>
  <c r="N91" i="2"/>
  <c r="E14" i="21" l="1"/>
  <c r="F14" i="21" s="1"/>
  <c r="E11" i="21"/>
  <c r="M73" i="12"/>
  <c r="J73" i="12"/>
  <c r="G73" i="12"/>
  <c r="O73" i="12" s="1"/>
  <c r="H223" i="7"/>
  <c r="T14" i="21"/>
  <c r="I14" i="21"/>
  <c r="O14" i="21"/>
  <c r="J42" i="21"/>
  <c r="N42" i="24"/>
  <c r="H21" i="69"/>
  <c r="O15" i="12"/>
  <c r="D15" i="13"/>
  <c r="H95" i="69"/>
  <c r="H95" i="2"/>
  <c r="T10" i="25"/>
  <c r="W10" i="25" s="1"/>
  <c r="Q10" i="25" s="1"/>
  <c r="C12" i="3"/>
  <c r="N11" i="69"/>
  <c r="I21" i="69"/>
  <c r="T11" i="25"/>
  <c r="N11" i="2"/>
  <c r="J21" i="2"/>
  <c r="G61" i="13"/>
  <c r="L61" i="13" s="1"/>
  <c r="G96" i="13"/>
  <c r="L96" i="13" s="1"/>
  <c r="T62" i="69"/>
  <c r="R37" i="69"/>
  <c r="L63" i="13"/>
  <c r="T37" i="69"/>
  <c r="C97" i="21"/>
  <c r="C97" i="24" s="1"/>
  <c r="C43" i="21"/>
  <c r="C43" i="24" s="1"/>
  <c r="L43" i="24" s="1"/>
  <c r="J43" i="21" s="1"/>
  <c r="L43" i="21" s="1"/>
  <c r="C37" i="21"/>
  <c r="C37" i="24" s="1"/>
  <c r="P37" i="2"/>
  <c r="R97" i="69"/>
  <c r="T97" i="69"/>
  <c r="V62" i="69"/>
  <c r="V48" i="69"/>
  <c r="T48" i="69"/>
  <c r="R43" i="69"/>
  <c r="V43" i="69"/>
  <c r="T30" i="69"/>
  <c r="R90" i="69"/>
  <c r="V90" i="69"/>
  <c r="C30" i="21"/>
  <c r="C30" i="24" s="1"/>
  <c r="V30" i="69"/>
  <c r="L42" i="13"/>
  <c r="R41" i="69"/>
  <c r="V41" i="69"/>
  <c r="L41" i="13"/>
  <c r="L44" i="13"/>
  <c r="J89" i="13"/>
  <c r="G89" i="13"/>
  <c r="C61" i="24"/>
  <c r="M70" i="13"/>
  <c r="N70" i="13" s="1"/>
  <c r="F71" i="13"/>
  <c r="N46" i="69"/>
  <c r="P62" i="2"/>
  <c r="C62" i="21"/>
  <c r="F15" i="21"/>
  <c r="O15" i="21"/>
  <c r="N29" i="24"/>
  <c r="D29" i="21"/>
  <c r="N17" i="24"/>
  <c r="C35" i="24"/>
  <c r="F12" i="21"/>
  <c r="O12" i="21"/>
  <c r="I25" i="24"/>
  <c r="G25" i="21" s="1"/>
  <c r="I25" i="21" s="1"/>
  <c r="L25" i="24"/>
  <c r="J25" i="21" s="1"/>
  <c r="L25" i="21" s="1"/>
  <c r="F25" i="24"/>
  <c r="N46" i="2"/>
  <c r="L47" i="24"/>
  <c r="J47" i="21" s="1"/>
  <c r="L47" i="21" s="1"/>
  <c r="F47" i="24"/>
  <c r="I47" i="24"/>
  <c r="G47" i="21" s="1"/>
  <c r="I47" i="21" s="1"/>
  <c r="D31" i="21"/>
  <c r="N31" i="24"/>
  <c r="P60" i="2"/>
  <c r="C60" i="21"/>
  <c r="G46" i="13"/>
  <c r="J46" i="13"/>
  <c r="C90" i="21"/>
  <c r="P90" i="2"/>
  <c r="T60" i="69"/>
  <c r="V60" i="69"/>
  <c r="R60" i="69"/>
  <c r="I58" i="24"/>
  <c r="G58" i="21" s="1"/>
  <c r="I58" i="21" s="1"/>
  <c r="F58" i="24"/>
  <c r="L58" i="24"/>
  <c r="J58" i="21" s="1"/>
  <c r="L58" i="21" s="1"/>
  <c r="N45" i="2"/>
  <c r="C38" i="21"/>
  <c r="P38" i="2"/>
  <c r="P48" i="2"/>
  <c r="C48" i="21"/>
  <c r="J47" i="13"/>
  <c r="G47" i="13"/>
  <c r="G20" i="25"/>
  <c r="F20" i="25"/>
  <c r="H72" i="24" s="1"/>
  <c r="L51" i="24"/>
  <c r="J51" i="21" s="1"/>
  <c r="L51" i="21" s="1"/>
  <c r="I51" i="24"/>
  <c r="G51" i="21" s="1"/>
  <c r="I51" i="21" s="1"/>
  <c r="F51" i="24"/>
  <c r="P40" i="2"/>
  <c r="C40" i="21"/>
  <c r="V40" i="69"/>
  <c r="R40" i="69"/>
  <c r="T40" i="69"/>
  <c r="L12" i="21"/>
  <c r="L39" i="13"/>
  <c r="N45" i="69"/>
  <c r="I62" i="13"/>
  <c r="F62" i="13" s="1"/>
  <c r="M62" i="13" s="1"/>
  <c r="C41" i="21"/>
  <c r="P41" i="2"/>
  <c r="L53" i="24"/>
  <c r="J53" i="21" s="1"/>
  <c r="L53" i="21" s="1"/>
  <c r="F53" i="24"/>
  <c r="I53" i="24"/>
  <c r="G53" i="21" s="1"/>
  <c r="I53" i="21" s="1"/>
  <c r="N16" i="24"/>
  <c r="E20" i="25"/>
  <c r="E72" i="24" s="1"/>
  <c r="L31" i="13"/>
  <c r="D16" i="13"/>
  <c r="O16" i="12"/>
  <c r="F32" i="24"/>
  <c r="L32" i="24"/>
  <c r="J32" i="21" s="1"/>
  <c r="L32" i="21" s="1"/>
  <c r="I32" i="24"/>
  <c r="G32" i="21" s="1"/>
  <c r="I32" i="21" s="1"/>
  <c r="L49" i="13"/>
  <c r="V38" i="69"/>
  <c r="R38" i="69"/>
  <c r="T38" i="69"/>
  <c r="O49" i="21"/>
  <c r="F49" i="21"/>
  <c r="H225" i="7"/>
  <c r="D97" i="7"/>
  <c r="U36" i="8"/>
  <c r="L90" i="13"/>
  <c r="C91" i="21"/>
  <c r="P91" i="2"/>
  <c r="T91" i="69"/>
  <c r="V91" i="69"/>
  <c r="R91" i="69"/>
  <c r="L97" i="7" l="1"/>
  <c r="L99" i="7" s="1"/>
  <c r="L101" i="7" s="1"/>
  <c r="L103" i="7" s="1"/>
  <c r="S14" i="2"/>
  <c r="O14" i="2" s="1"/>
  <c r="P14" i="2" s="1"/>
  <c r="L72" i="2"/>
  <c r="L72" i="69"/>
  <c r="M72" i="69"/>
  <c r="M72" i="2"/>
  <c r="U72" i="69"/>
  <c r="U75" i="69"/>
  <c r="S72" i="69"/>
  <c r="H75" i="24"/>
  <c r="S75" i="69"/>
  <c r="Q72" i="69"/>
  <c r="E75" i="24"/>
  <c r="Q75" i="69"/>
  <c r="L42" i="21"/>
  <c r="O42" i="21"/>
  <c r="J15" i="13"/>
  <c r="G15" i="13"/>
  <c r="P10" i="25"/>
  <c r="C11" i="21"/>
  <c r="N21" i="2"/>
  <c r="W11" i="25"/>
  <c r="O11" i="25" s="1"/>
  <c r="J95" i="2"/>
  <c r="N21" i="69"/>
  <c r="V11" i="69"/>
  <c r="V21" i="69" s="1"/>
  <c r="C5" i="80" s="1"/>
  <c r="I7" i="80" s="1"/>
  <c r="J19" i="80" s="1"/>
  <c r="R11" i="69"/>
  <c r="R21" i="69" s="1"/>
  <c r="C5" i="78" s="1"/>
  <c r="I7" i="78" s="1"/>
  <c r="J19" i="78" s="1"/>
  <c r="T11" i="69"/>
  <c r="T21" i="69" s="1"/>
  <c r="C5" i="79" s="1"/>
  <c r="I7" i="79" s="1"/>
  <c r="J19" i="79" s="1"/>
  <c r="L12" i="3"/>
  <c r="L22" i="3" s="1"/>
  <c r="C22" i="3"/>
  <c r="I12" i="3"/>
  <c r="I22" i="3" s="1"/>
  <c r="F12" i="3"/>
  <c r="O10" i="25"/>
  <c r="I95" i="69"/>
  <c r="F43" i="24"/>
  <c r="D43" i="21" s="1"/>
  <c r="I43" i="24"/>
  <c r="G43" i="21" s="1"/>
  <c r="I43" i="21" s="1"/>
  <c r="I37" i="24"/>
  <c r="G37" i="21" s="1"/>
  <c r="I37" i="21" s="1"/>
  <c r="F37" i="24"/>
  <c r="D37" i="21" s="1"/>
  <c r="L37" i="24"/>
  <c r="J37" i="21" s="1"/>
  <c r="L37" i="21" s="1"/>
  <c r="L89" i="13"/>
  <c r="U83" i="69"/>
  <c r="K64" i="24"/>
  <c r="U66" i="69"/>
  <c r="U100" i="69"/>
  <c r="V100" i="69" s="1"/>
  <c r="U65" i="69"/>
  <c r="U76" i="69"/>
  <c r="U77" i="69"/>
  <c r="U82" i="69"/>
  <c r="U99" i="69"/>
  <c r="U81" i="69"/>
  <c r="U73" i="69"/>
  <c r="U68" i="69"/>
  <c r="U71" i="69"/>
  <c r="U74" i="69"/>
  <c r="U69" i="69"/>
  <c r="U67" i="69"/>
  <c r="U64" i="69"/>
  <c r="U70" i="69"/>
  <c r="C38" i="24"/>
  <c r="F29" i="21"/>
  <c r="O29" i="21"/>
  <c r="C41" i="24"/>
  <c r="C48" i="24"/>
  <c r="C90" i="24"/>
  <c r="F31" i="21"/>
  <c r="O31" i="21"/>
  <c r="F97" i="24"/>
  <c r="L97" i="24"/>
  <c r="J97" i="21" s="1"/>
  <c r="L97" i="21" s="1"/>
  <c r="I97" i="24"/>
  <c r="G97" i="21" s="1"/>
  <c r="I97" i="21" s="1"/>
  <c r="N53" i="24"/>
  <c r="D53" i="21"/>
  <c r="G62" i="13"/>
  <c r="L62" i="13" s="1"/>
  <c r="C60" i="24"/>
  <c r="C46" i="21"/>
  <c r="P46" i="2"/>
  <c r="D25" i="21"/>
  <c r="N25" i="24"/>
  <c r="C62" i="24"/>
  <c r="T46" i="69"/>
  <c r="V46" i="69"/>
  <c r="R46" i="69"/>
  <c r="N32" i="24"/>
  <c r="D32" i="21"/>
  <c r="F30" i="24"/>
  <c r="I30" i="24"/>
  <c r="G30" i="21" s="1"/>
  <c r="I30" i="21" s="1"/>
  <c r="L30" i="24"/>
  <c r="J30" i="21" s="1"/>
  <c r="L30" i="21" s="1"/>
  <c r="R45" i="69"/>
  <c r="T45" i="69"/>
  <c r="V45" i="69"/>
  <c r="L35" i="24"/>
  <c r="J35" i="21" s="1"/>
  <c r="L35" i="21" s="1"/>
  <c r="F35" i="24"/>
  <c r="I35" i="24"/>
  <c r="G35" i="21" s="1"/>
  <c r="I35" i="21" s="1"/>
  <c r="Q74" i="69"/>
  <c r="Q77" i="69"/>
  <c r="Q73" i="69"/>
  <c r="E76" i="24"/>
  <c r="E64" i="24"/>
  <c r="Q66" i="69"/>
  <c r="Q99" i="69"/>
  <c r="Q83" i="69"/>
  <c r="Q71" i="69"/>
  <c r="Q67" i="69"/>
  <c r="E70" i="24"/>
  <c r="E73" i="24"/>
  <c r="E68" i="24"/>
  <c r="E77" i="24"/>
  <c r="E69" i="24"/>
  <c r="Q65" i="69"/>
  <c r="Q81" i="69"/>
  <c r="Q68" i="69"/>
  <c r="H20" i="25"/>
  <c r="E66" i="24"/>
  <c r="E67" i="24"/>
  <c r="Q70" i="69"/>
  <c r="Q100" i="69"/>
  <c r="E65" i="24"/>
  <c r="Q76" i="69"/>
  <c r="E71" i="24"/>
  <c r="Q82" i="69"/>
  <c r="Q69" i="69"/>
  <c r="E74" i="24"/>
  <c r="Q64" i="69"/>
  <c r="C40" i="24"/>
  <c r="P45" i="2"/>
  <c r="C45" i="21"/>
  <c r="L46" i="13"/>
  <c r="J16" i="13"/>
  <c r="G16" i="13"/>
  <c r="N51" i="24"/>
  <c r="D51" i="21"/>
  <c r="H66" i="24"/>
  <c r="H64" i="24"/>
  <c r="J26" i="26" s="1"/>
  <c r="S83" i="69"/>
  <c r="H70" i="24"/>
  <c r="H68" i="24"/>
  <c r="S76" i="69"/>
  <c r="H76" i="24"/>
  <c r="S77" i="69"/>
  <c r="S66" i="69"/>
  <c r="S81" i="69"/>
  <c r="S69" i="69"/>
  <c r="S64" i="69"/>
  <c r="S73" i="69"/>
  <c r="S99" i="69"/>
  <c r="H100" i="24"/>
  <c r="I100" i="24" s="1"/>
  <c r="G100" i="21" s="1"/>
  <c r="I100" i="21" s="1"/>
  <c r="H69" i="24"/>
  <c r="S71" i="69"/>
  <c r="H65" i="24"/>
  <c r="H77" i="24"/>
  <c r="H99" i="24"/>
  <c r="H82" i="24"/>
  <c r="H67" i="24"/>
  <c r="S67" i="69"/>
  <c r="S68" i="69"/>
  <c r="H81" i="24"/>
  <c r="H83" i="24"/>
  <c r="S100" i="69"/>
  <c r="T100" i="69" s="1"/>
  <c r="H71" i="24"/>
  <c r="H74" i="24"/>
  <c r="S82" i="69"/>
  <c r="S74" i="69"/>
  <c r="S70" i="69"/>
  <c r="H73" i="24"/>
  <c r="S65" i="69"/>
  <c r="L47" i="13"/>
  <c r="D58" i="21"/>
  <c r="N58" i="24"/>
  <c r="N47" i="24"/>
  <c r="D47" i="21"/>
  <c r="M71" i="13"/>
  <c r="N71" i="13" s="1"/>
  <c r="F72" i="13"/>
  <c r="L61" i="24"/>
  <c r="J61" i="21" s="1"/>
  <c r="L61" i="21" s="1"/>
  <c r="I61" i="24"/>
  <c r="G61" i="21" s="1"/>
  <c r="I61" i="21" s="1"/>
  <c r="F61" i="24"/>
  <c r="N97" i="7"/>
  <c r="D99" i="7"/>
  <c r="P10" i="7"/>
  <c r="C91" i="24"/>
  <c r="C5" i="73" l="1"/>
  <c r="I7" i="73" s="1"/>
  <c r="J19" i="73" s="1"/>
  <c r="E11" i="1"/>
  <c r="K75" i="24"/>
  <c r="O75" i="24" s="1"/>
  <c r="P75" i="24" s="1"/>
  <c r="K72" i="24"/>
  <c r="O72" i="24" s="1"/>
  <c r="P72" i="24" s="1"/>
  <c r="Y72" i="69"/>
  <c r="Y75" i="69"/>
  <c r="H22" i="3"/>
  <c r="H96" i="3" s="1"/>
  <c r="L15" i="13"/>
  <c r="O18" i="25"/>
  <c r="U21" i="69"/>
  <c r="U95" i="69" s="1"/>
  <c r="K22" i="3"/>
  <c r="K96" i="3" s="1"/>
  <c r="Q11" i="25"/>
  <c r="Q18" i="25" s="1"/>
  <c r="P11" i="25"/>
  <c r="P18" i="25" s="1"/>
  <c r="S21" i="69"/>
  <c r="F22" i="3"/>
  <c r="E22" i="3" s="1"/>
  <c r="N12" i="3"/>
  <c r="N22" i="3" s="1"/>
  <c r="D12" i="12"/>
  <c r="C96" i="3"/>
  <c r="Q21" i="69"/>
  <c r="C11" i="24"/>
  <c r="C21" i="21"/>
  <c r="I73" i="3"/>
  <c r="O73" i="3"/>
  <c r="P73" i="3" s="1"/>
  <c r="N43" i="24"/>
  <c r="Y83" i="69"/>
  <c r="Y69" i="69"/>
  <c r="Y76" i="69"/>
  <c r="Y81" i="69"/>
  <c r="Y74" i="69"/>
  <c r="F37" i="21"/>
  <c r="O37" i="21"/>
  <c r="N37" i="24"/>
  <c r="D61" i="21"/>
  <c r="N61" i="24"/>
  <c r="N30" i="24"/>
  <c r="D30" i="21"/>
  <c r="I62" i="24"/>
  <c r="G62" i="21" s="1"/>
  <c r="I62" i="21" s="1"/>
  <c r="F62" i="24"/>
  <c r="L62" i="24"/>
  <c r="J62" i="21" s="1"/>
  <c r="L62" i="21" s="1"/>
  <c r="F25" i="21"/>
  <c r="O25" i="21"/>
  <c r="F73" i="13"/>
  <c r="M72" i="13"/>
  <c r="N72" i="13" s="1"/>
  <c r="Y65" i="69"/>
  <c r="L60" i="24"/>
  <c r="J60" i="21" s="1"/>
  <c r="L60" i="21" s="1"/>
  <c r="F60" i="24"/>
  <c r="I60" i="24"/>
  <c r="G60" i="21" s="1"/>
  <c r="I60" i="21" s="1"/>
  <c r="F90" i="24"/>
  <c r="I90" i="24"/>
  <c r="G90" i="21" s="1"/>
  <c r="I90" i="21" s="1"/>
  <c r="L90" i="24"/>
  <c r="J90" i="21" s="1"/>
  <c r="L90" i="21" s="1"/>
  <c r="F43" i="21"/>
  <c r="O43" i="21"/>
  <c r="Y82" i="69"/>
  <c r="Y100" i="69"/>
  <c r="R100" i="69"/>
  <c r="Y99" i="69"/>
  <c r="Y73" i="69"/>
  <c r="K68" i="24"/>
  <c r="O68" i="24" s="1"/>
  <c r="P68" i="24" s="1"/>
  <c r="K69" i="24"/>
  <c r="O69" i="24" s="1"/>
  <c r="P69" i="24" s="1"/>
  <c r="K65" i="24"/>
  <c r="K81" i="24"/>
  <c r="K100" i="24"/>
  <c r="L100" i="24" s="1"/>
  <c r="J100" i="21" s="1"/>
  <c r="L100" i="21" s="1"/>
  <c r="K70" i="24"/>
  <c r="O70" i="24" s="1"/>
  <c r="P70" i="24" s="1"/>
  <c r="K82" i="24"/>
  <c r="K76" i="24"/>
  <c r="O76" i="24" s="1"/>
  <c r="P76" i="24" s="1"/>
  <c r="K71" i="24"/>
  <c r="O71" i="24" s="1"/>
  <c r="P71" i="24" s="1"/>
  <c r="K67" i="24"/>
  <c r="O67" i="24" s="1"/>
  <c r="P67" i="24" s="1"/>
  <c r="K77" i="24"/>
  <c r="O77" i="24" s="1"/>
  <c r="P77" i="24" s="1"/>
  <c r="K66" i="24"/>
  <c r="O66" i="24" s="1"/>
  <c r="P66" i="24" s="1"/>
  <c r="K74" i="24"/>
  <c r="O74" i="24" s="1"/>
  <c r="P74" i="24" s="1"/>
  <c r="K73" i="24"/>
  <c r="O73" i="24" s="1"/>
  <c r="P73" i="24" s="1"/>
  <c r="K99" i="24"/>
  <c r="K83" i="24"/>
  <c r="J27" i="26"/>
  <c r="F47" i="21"/>
  <c r="O47" i="21"/>
  <c r="L16" i="13"/>
  <c r="I40" i="24"/>
  <c r="G40" i="21" s="1"/>
  <c r="I40" i="21" s="1"/>
  <c r="L40" i="24"/>
  <c r="J40" i="21" s="1"/>
  <c r="L40" i="21" s="1"/>
  <c r="F40" i="24"/>
  <c r="Y71" i="69"/>
  <c r="O64" i="24"/>
  <c r="P64" i="24" s="1"/>
  <c r="E81" i="24"/>
  <c r="J25" i="26"/>
  <c r="E82" i="24"/>
  <c r="E100" i="24"/>
  <c r="E83" i="24"/>
  <c r="E99" i="24"/>
  <c r="F41" i="24"/>
  <c r="I41" i="24"/>
  <c r="G41" i="21" s="1"/>
  <c r="I41" i="21" s="1"/>
  <c r="L41" i="24"/>
  <c r="J41" i="21" s="1"/>
  <c r="L41" i="21" s="1"/>
  <c r="F58" i="21"/>
  <c r="O58" i="21"/>
  <c r="F51" i="21"/>
  <c r="O51" i="21"/>
  <c r="C45" i="24"/>
  <c r="Y64" i="69"/>
  <c r="Y70" i="69"/>
  <c r="Y68" i="69"/>
  <c r="Y67" i="69"/>
  <c r="Y66" i="69"/>
  <c r="Y77" i="69"/>
  <c r="D35" i="21"/>
  <c r="N35" i="24"/>
  <c r="F32" i="21"/>
  <c r="O32" i="21"/>
  <c r="C46" i="24"/>
  <c r="F53" i="21"/>
  <c r="O53" i="21"/>
  <c r="N97" i="24"/>
  <c r="D97" i="21"/>
  <c r="F48" i="24"/>
  <c r="L48" i="24"/>
  <c r="J48" i="21" s="1"/>
  <c r="L48" i="21" s="1"/>
  <c r="I48" i="24"/>
  <c r="G48" i="21" s="1"/>
  <c r="I48" i="21" s="1"/>
  <c r="I38" i="24"/>
  <c r="G38" i="21" s="1"/>
  <c r="I38" i="21" s="1"/>
  <c r="L38" i="24"/>
  <c r="J38" i="21" s="1"/>
  <c r="L38" i="21" s="1"/>
  <c r="F38" i="24"/>
  <c r="N99" i="7"/>
  <c r="F91" i="24"/>
  <c r="L91" i="24"/>
  <c r="J91" i="21" s="1"/>
  <c r="L91" i="21" s="1"/>
  <c r="I91" i="24"/>
  <c r="G91" i="21" s="1"/>
  <c r="I91" i="21" s="1"/>
  <c r="U80" i="69" l="1"/>
  <c r="V80" i="69" s="1"/>
  <c r="R18" i="25"/>
  <c r="O20" i="25" s="1"/>
  <c r="E65" i="3" s="1"/>
  <c r="U79" i="69"/>
  <c r="V79" i="69" s="1"/>
  <c r="U78" i="69"/>
  <c r="V78" i="69" s="1"/>
  <c r="L96" i="3"/>
  <c r="I96" i="3"/>
  <c r="S79" i="69"/>
  <c r="T79" i="69" s="1"/>
  <c r="S80" i="69"/>
  <c r="T80" i="69" s="1"/>
  <c r="S78" i="69"/>
  <c r="T78" i="69" s="1"/>
  <c r="S95" i="69"/>
  <c r="C21" i="24"/>
  <c r="L11" i="24"/>
  <c r="I11" i="24"/>
  <c r="F11" i="24"/>
  <c r="J12" i="12"/>
  <c r="J22" i="12" s="1"/>
  <c r="G12" i="12"/>
  <c r="D22" i="12"/>
  <c r="M12" i="12"/>
  <c r="M22" i="12" s="1"/>
  <c r="O22" i="3"/>
  <c r="E96" i="3"/>
  <c r="O96" i="3" s="1"/>
  <c r="P96" i="3" s="1"/>
  <c r="Q80" i="69"/>
  <c r="Q79" i="69"/>
  <c r="Q78" i="69"/>
  <c r="Q95" i="69"/>
  <c r="O82" i="24"/>
  <c r="P82" i="24" s="1"/>
  <c r="O99" i="24"/>
  <c r="P99" i="24" s="1"/>
  <c r="D41" i="21"/>
  <c r="N41" i="24"/>
  <c r="F46" i="24"/>
  <c r="L46" i="24"/>
  <c r="J46" i="21" s="1"/>
  <c r="L46" i="21" s="1"/>
  <c r="I46" i="24"/>
  <c r="G46" i="21" s="1"/>
  <c r="I46" i="21" s="1"/>
  <c r="F30" i="21"/>
  <c r="O30" i="21"/>
  <c r="N48" i="24"/>
  <c r="D48" i="21"/>
  <c r="F35" i="21"/>
  <c r="O35" i="21"/>
  <c r="J29" i="26"/>
  <c r="D40" i="21"/>
  <c r="N40" i="24"/>
  <c r="D90" i="21"/>
  <c r="N90" i="24"/>
  <c r="O65" i="24"/>
  <c r="P65" i="24" s="1"/>
  <c r="D62" i="21"/>
  <c r="N62" i="24"/>
  <c r="O100" i="24"/>
  <c r="P100" i="24" s="1"/>
  <c r="F100" i="24"/>
  <c r="D38" i="21"/>
  <c r="N38" i="24"/>
  <c r="L45" i="24"/>
  <c r="J45" i="21" s="1"/>
  <c r="L45" i="21" s="1"/>
  <c r="I45" i="24"/>
  <c r="G45" i="21" s="1"/>
  <c r="I45" i="21" s="1"/>
  <c r="F45" i="24"/>
  <c r="F97" i="21"/>
  <c r="O97" i="21"/>
  <c r="O83" i="24"/>
  <c r="P83" i="24" s="1"/>
  <c r="O81" i="24"/>
  <c r="P81" i="24" s="1"/>
  <c r="N60" i="24"/>
  <c r="D60" i="21"/>
  <c r="F74" i="13"/>
  <c r="M73" i="13"/>
  <c r="N73" i="13" s="1"/>
  <c r="F61" i="21"/>
  <c r="O61" i="21"/>
  <c r="E104" i="7"/>
  <c r="D103" i="7"/>
  <c r="N103" i="7" s="1"/>
  <c r="N101" i="7"/>
  <c r="D91" i="21"/>
  <c r="N91" i="24"/>
  <c r="Q20" i="25" l="1"/>
  <c r="K65" i="3" s="1"/>
  <c r="J49" i="8"/>
  <c r="AA49" i="8" s="1"/>
  <c r="P20" i="25"/>
  <c r="H65" i="3" s="1"/>
  <c r="H72" i="3" s="1"/>
  <c r="I72" i="3" s="1"/>
  <c r="I22" i="12"/>
  <c r="I96" i="12" s="1"/>
  <c r="L22" i="12"/>
  <c r="L96" i="12" s="1"/>
  <c r="N11" i="24"/>
  <c r="N21" i="24" s="1"/>
  <c r="F21" i="24"/>
  <c r="E21" i="24" s="1"/>
  <c r="D11" i="21"/>
  <c r="R80" i="69"/>
  <c r="Y80" i="69"/>
  <c r="G11" i="21"/>
  <c r="I21" i="24"/>
  <c r="H21" i="24" s="1"/>
  <c r="K95" i="69"/>
  <c r="K95" i="2"/>
  <c r="Y78" i="69"/>
  <c r="R78" i="69"/>
  <c r="R79" i="69"/>
  <c r="Y79" i="69"/>
  <c r="J11" i="21"/>
  <c r="L21" i="24"/>
  <c r="K21" i="24" s="1"/>
  <c r="Y95" i="69"/>
  <c r="G22" i="12"/>
  <c r="F22" i="12" s="1"/>
  <c r="O12" i="12"/>
  <c r="O22" i="12" s="1"/>
  <c r="D12" i="13"/>
  <c r="F96" i="3"/>
  <c r="E78" i="3"/>
  <c r="E74" i="3"/>
  <c r="E75" i="3"/>
  <c r="E83" i="3"/>
  <c r="E84" i="3"/>
  <c r="E69" i="3"/>
  <c r="E100" i="3"/>
  <c r="E71" i="3"/>
  <c r="E68" i="3"/>
  <c r="E67" i="3"/>
  <c r="E72" i="3"/>
  <c r="F65" i="3"/>
  <c r="D65" i="12" s="1"/>
  <c r="J25" i="8"/>
  <c r="AA25" i="8" s="1"/>
  <c r="E82" i="3"/>
  <c r="E77" i="3"/>
  <c r="E70" i="3"/>
  <c r="D45" i="21"/>
  <c r="N45" i="24"/>
  <c r="F90" i="21"/>
  <c r="O90" i="21"/>
  <c r="F41" i="21"/>
  <c r="O41" i="21"/>
  <c r="F80" i="13"/>
  <c r="M80" i="13" s="1"/>
  <c r="N80" i="13" s="1"/>
  <c r="M74" i="13"/>
  <c r="N74" i="13" s="1"/>
  <c r="F38" i="21"/>
  <c r="O38" i="21"/>
  <c r="D100" i="21"/>
  <c r="N100" i="24"/>
  <c r="F40" i="21"/>
  <c r="O40" i="21"/>
  <c r="N46" i="24"/>
  <c r="D46" i="21"/>
  <c r="F62" i="21"/>
  <c r="O62" i="21"/>
  <c r="F48" i="21"/>
  <c r="O48" i="21"/>
  <c r="F60" i="21"/>
  <c r="O60" i="21"/>
  <c r="F91" i="21"/>
  <c r="O91" i="21"/>
  <c r="J51" i="8" l="1"/>
  <c r="AA51" i="8" s="1"/>
  <c r="H75" i="3"/>
  <c r="I75" i="3" s="1"/>
  <c r="I65" i="3"/>
  <c r="O65" i="3"/>
  <c r="P65" i="3" s="1"/>
  <c r="H78" i="3"/>
  <c r="I78" i="3" s="1"/>
  <c r="H83" i="3"/>
  <c r="I83" i="3" s="1"/>
  <c r="H69" i="3"/>
  <c r="I69" i="3" s="1"/>
  <c r="H74" i="3"/>
  <c r="I74" i="3" s="1"/>
  <c r="H71" i="3"/>
  <c r="I71" i="3" s="1"/>
  <c r="R20" i="25"/>
  <c r="H68" i="3"/>
  <c r="I68" i="3" s="1"/>
  <c r="H67" i="3"/>
  <c r="I67" i="3" s="1"/>
  <c r="H100" i="3"/>
  <c r="I100" i="3" s="1"/>
  <c r="H82" i="3"/>
  <c r="I82" i="3" s="1"/>
  <c r="H77" i="3"/>
  <c r="I77" i="3" s="1"/>
  <c r="H84" i="3"/>
  <c r="I84" i="3" s="1"/>
  <c r="H70" i="3"/>
  <c r="I70" i="3" s="1"/>
  <c r="J50" i="8"/>
  <c r="AA50" i="8" s="1"/>
  <c r="J26" i="8"/>
  <c r="AA26" i="8" s="1"/>
  <c r="AA14" i="8" s="1"/>
  <c r="K79" i="24"/>
  <c r="L79" i="24" s="1"/>
  <c r="J79" i="21" s="1"/>
  <c r="L79" i="21" s="1"/>
  <c r="K80" i="24"/>
  <c r="L80" i="24" s="1"/>
  <c r="J80" i="21" s="1"/>
  <c r="L80" i="21" s="1"/>
  <c r="K78" i="24"/>
  <c r="L78" i="24" s="1"/>
  <c r="J78" i="21" s="1"/>
  <c r="L78" i="21" s="1"/>
  <c r="K95" i="24"/>
  <c r="J21" i="21"/>
  <c r="E11" i="20" s="1"/>
  <c r="V11" i="21"/>
  <c r="O11" i="21"/>
  <c r="R11" i="21"/>
  <c r="D21" i="21"/>
  <c r="T11" i="21"/>
  <c r="G21" i="21"/>
  <c r="E11" i="19" s="1"/>
  <c r="D22" i="13"/>
  <c r="I98" i="13"/>
  <c r="G12" i="13"/>
  <c r="J12" i="13"/>
  <c r="J22" i="13" s="1"/>
  <c r="F98" i="13"/>
  <c r="F96" i="12"/>
  <c r="P96" i="12" s="1"/>
  <c r="Q96" i="12" s="1"/>
  <c r="P22" i="12"/>
  <c r="E78" i="24"/>
  <c r="O21" i="24"/>
  <c r="E95" i="24"/>
  <c r="E80" i="24"/>
  <c r="E79" i="24"/>
  <c r="H78" i="24"/>
  <c r="I78" i="24" s="1"/>
  <c r="G78" i="21" s="1"/>
  <c r="I78" i="21" s="1"/>
  <c r="H95" i="24"/>
  <c r="H79" i="24"/>
  <c r="I79" i="24" s="1"/>
  <c r="G79" i="21" s="1"/>
  <c r="I79" i="21" s="1"/>
  <c r="H80" i="24"/>
  <c r="I80" i="24" s="1"/>
  <c r="G80" i="21" s="1"/>
  <c r="I80" i="21" s="1"/>
  <c r="D96" i="12"/>
  <c r="N96" i="3"/>
  <c r="F77" i="3"/>
  <c r="D77" i="12" s="1"/>
  <c r="F100" i="3"/>
  <c r="L73" i="3"/>
  <c r="K69" i="3"/>
  <c r="L69" i="3" s="1"/>
  <c r="K71" i="3"/>
  <c r="L71" i="3" s="1"/>
  <c r="K74" i="3"/>
  <c r="L74" i="3" s="1"/>
  <c r="K100" i="3"/>
  <c r="L100" i="3" s="1"/>
  <c r="K68" i="3"/>
  <c r="L68" i="3" s="1"/>
  <c r="K82" i="3"/>
  <c r="L82" i="3" s="1"/>
  <c r="K78" i="3"/>
  <c r="L78" i="3" s="1"/>
  <c r="K67" i="3"/>
  <c r="L67" i="3" s="1"/>
  <c r="K84" i="3"/>
  <c r="L84" i="3" s="1"/>
  <c r="L65" i="3"/>
  <c r="K75" i="3"/>
  <c r="L75" i="3" s="1"/>
  <c r="K77" i="3"/>
  <c r="L77" i="3" s="1"/>
  <c r="K83" i="3"/>
  <c r="L83" i="3" s="1"/>
  <c r="K70" i="3"/>
  <c r="L70" i="3" s="1"/>
  <c r="K69" i="2" s="1"/>
  <c r="J27" i="8"/>
  <c r="K72" i="3"/>
  <c r="L72" i="3" s="1"/>
  <c r="K71" i="2" s="1"/>
  <c r="G65" i="12"/>
  <c r="J65" i="12"/>
  <c r="M65" i="12"/>
  <c r="F75" i="3"/>
  <c r="F74" i="3"/>
  <c r="F78" i="3"/>
  <c r="D78" i="12" s="1"/>
  <c r="F82" i="3"/>
  <c r="F69" i="3"/>
  <c r="F83" i="3"/>
  <c r="F72" i="3"/>
  <c r="D72" i="12" s="1"/>
  <c r="F67" i="3"/>
  <c r="F68" i="3"/>
  <c r="D68" i="12" s="1"/>
  <c r="F70" i="3"/>
  <c r="D70" i="12" s="1"/>
  <c r="F71" i="3"/>
  <c r="F84" i="3"/>
  <c r="D84" i="12" s="1"/>
  <c r="F46" i="21"/>
  <c r="O46" i="21"/>
  <c r="F45" i="21"/>
  <c r="O45" i="21"/>
  <c r="F100" i="21"/>
  <c r="O100" i="21"/>
  <c r="K72" i="2" l="1"/>
  <c r="N73" i="3"/>
  <c r="K72" i="69"/>
  <c r="K76" i="69"/>
  <c r="AA53" i="8"/>
  <c r="K64" i="2"/>
  <c r="K82" i="2"/>
  <c r="K74" i="69"/>
  <c r="K77" i="69"/>
  <c r="K68" i="2"/>
  <c r="K73" i="2"/>
  <c r="K70" i="2"/>
  <c r="K67" i="2"/>
  <c r="K99" i="69"/>
  <c r="K66" i="2"/>
  <c r="K83" i="2"/>
  <c r="J14" i="8"/>
  <c r="M14" i="8" s="1"/>
  <c r="N14" i="8" s="1"/>
  <c r="J53" i="8"/>
  <c r="K81" i="2"/>
  <c r="O67" i="3"/>
  <c r="P67" i="3" s="1"/>
  <c r="O95" i="24"/>
  <c r="P95" i="24" s="1"/>
  <c r="O69" i="3"/>
  <c r="P69" i="3" s="1"/>
  <c r="K66" i="69"/>
  <c r="O84" i="3"/>
  <c r="P84" i="3" s="1"/>
  <c r="M98" i="13"/>
  <c r="K68" i="69"/>
  <c r="O71" i="3"/>
  <c r="P71" i="3" s="1"/>
  <c r="K82" i="69"/>
  <c r="O82" i="3"/>
  <c r="P82" i="3" s="1"/>
  <c r="O68" i="3"/>
  <c r="P68" i="3" s="1"/>
  <c r="O74" i="3"/>
  <c r="P74" i="3" s="1"/>
  <c r="F79" i="24"/>
  <c r="O79" i="24"/>
  <c r="P79" i="24" s="1"/>
  <c r="O80" i="24"/>
  <c r="P80" i="24" s="1"/>
  <c r="F80" i="24"/>
  <c r="G22" i="13"/>
  <c r="F22" i="13" s="1"/>
  <c r="L12" i="13"/>
  <c r="L22" i="13" s="1"/>
  <c r="K74" i="2"/>
  <c r="G96" i="12"/>
  <c r="M96" i="12"/>
  <c r="J96" i="12"/>
  <c r="F78" i="24"/>
  <c r="O78" i="24"/>
  <c r="P78" i="24" s="1"/>
  <c r="K83" i="69"/>
  <c r="K70" i="69"/>
  <c r="O100" i="3"/>
  <c r="I22" i="13"/>
  <c r="I94" i="13" s="1"/>
  <c r="J79" i="13"/>
  <c r="I79" i="13" s="1"/>
  <c r="F79" i="13" s="1"/>
  <c r="K73" i="69"/>
  <c r="K99" i="2"/>
  <c r="O72" i="3"/>
  <c r="P72" i="3" s="1"/>
  <c r="K71" i="69"/>
  <c r="N77" i="3"/>
  <c r="O77" i="3"/>
  <c r="P77" i="3" s="1"/>
  <c r="O21" i="21"/>
  <c r="E11" i="18"/>
  <c r="D83" i="12"/>
  <c r="N83" i="3"/>
  <c r="AA27" i="8"/>
  <c r="AA16" i="8" s="1"/>
  <c r="AD16" i="8" s="1"/>
  <c r="AE16" i="8" s="1"/>
  <c r="J16" i="8"/>
  <c r="M16" i="8" s="1"/>
  <c r="N16" i="8" s="1"/>
  <c r="K86" i="3" s="1"/>
  <c r="D71" i="12"/>
  <c r="N71" i="3"/>
  <c r="D82" i="12"/>
  <c r="N82" i="3"/>
  <c r="D100" i="12"/>
  <c r="N100" i="3"/>
  <c r="M68" i="12"/>
  <c r="J68" i="12"/>
  <c r="G68" i="12"/>
  <c r="J72" i="12"/>
  <c r="M72" i="12"/>
  <c r="G72" i="12"/>
  <c r="D74" i="12"/>
  <c r="N74" i="3"/>
  <c r="K69" i="69"/>
  <c r="M70" i="12"/>
  <c r="G70" i="12"/>
  <c r="J70" i="12"/>
  <c r="K81" i="69"/>
  <c r="AD14" i="8"/>
  <c r="G78" i="12"/>
  <c r="J78" i="12"/>
  <c r="M78" i="12"/>
  <c r="L64" i="69"/>
  <c r="L64" i="2"/>
  <c r="K64" i="69"/>
  <c r="K67" i="69"/>
  <c r="D75" i="12"/>
  <c r="N75" i="3"/>
  <c r="K77" i="2"/>
  <c r="N78" i="3"/>
  <c r="O70" i="3"/>
  <c r="P70" i="3" s="1"/>
  <c r="G77" i="12"/>
  <c r="J77" i="12"/>
  <c r="M77" i="12"/>
  <c r="N72" i="3"/>
  <c r="O78" i="3"/>
  <c r="P78" i="3" s="1"/>
  <c r="M64" i="69"/>
  <c r="M64" i="2"/>
  <c r="G84" i="12"/>
  <c r="M84" i="12"/>
  <c r="J84" i="12"/>
  <c r="N84" i="3"/>
  <c r="D67" i="12"/>
  <c r="N67" i="3"/>
  <c r="K76" i="2"/>
  <c r="O65" i="12"/>
  <c r="D65" i="13"/>
  <c r="N65" i="3"/>
  <c r="N70" i="3"/>
  <c r="O83" i="3"/>
  <c r="P83" i="3" s="1"/>
  <c r="D69" i="12"/>
  <c r="N69" i="3"/>
  <c r="J29" i="8"/>
  <c r="O75" i="3"/>
  <c r="P75" i="3" s="1"/>
  <c r="N68" i="3"/>
  <c r="AE14" i="8" l="1"/>
  <c r="K108" i="2"/>
  <c r="N75" i="69"/>
  <c r="N75" i="2"/>
  <c r="O96" i="12"/>
  <c r="D94" i="13"/>
  <c r="F94" i="13"/>
  <c r="M94" i="13" s="1"/>
  <c r="N94" i="13" s="1"/>
  <c r="M22" i="13"/>
  <c r="N80" i="24"/>
  <c r="D80" i="21"/>
  <c r="AA12" i="8"/>
  <c r="AD12" i="8" s="1"/>
  <c r="N78" i="24"/>
  <c r="D78" i="21"/>
  <c r="AA29" i="8"/>
  <c r="L95" i="69"/>
  <c r="L95" i="2"/>
  <c r="G79" i="13"/>
  <c r="L79" i="13" s="1"/>
  <c r="M79" i="13"/>
  <c r="N79" i="13" s="1"/>
  <c r="M95" i="69"/>
  <c r="M95" i="2"/>
  <c r="N79" i="24"/>
  <c r="D79" i="21"/>
  <c r="N64" i="2"/>
  <c r="G71" i="12"/>
  <c r="J71" i="12"/>
  <c r="M71" i="12"/>
  <c r="J12" i="8"/>
  <c r="D76" i="13"/>
  <c r="O78" i="12"/>
  <c r="M71" i="69"/>
  <c r="M71" i="2"/>
  <c r="M76" i="69"/>
  <c r="M76" i="2"/>
  <c r="O70" i="12"/>
  <c r="D70" i="13"/>
  <c r="D68" i="13"/>
  <c r="O68" i="12"/>
  <c r="G67" i="12"/>
  <c r="M67" i="12"/>
  <c r="J67" i="12"/>
  <c r="L76" i="2"/>
  <c r="L76" i="69"/>
  <c r="M69" i="2"/>
  <c r="M69" i="69"/>
  <c r="L67" i="2"/>
  <c r="L67" i="69"/>
  <c r="G65" i="13"/>
  <c r="J65" i="13"/>
  <c r="O77" i="12"/>
  <c r="D75" i="13"/>
  <c r="M67" i="2"/>
  <c r="M67" i="69"/>
  <c r="L83" i="69"/>
  <c r="L83" i="2"/>
  <c r="J75" i="12"/>
  <c r="G75" i="12"/>
  <c r="M75" i="12"/>
  <c r="M83" i="2"/>
  <c r="M83" i="69"/>
  <c r="M77" i="2"/>
  <c r="M77" i="69"/>
  <c r="G74" i="12"/>
  <c r="J74" i="12"/>
  <c r="M74" i="12"/>
  <c r="J100" i="12"/>
  <c r="M100" i="12"/>
  <c r="G100" i="12"/>
  <c r="K87" i="3"/>
  <c r="L87" i="3" s="1"/>
  <c r="L86" i="3"/>
  <c r="H86" i="3"/>
  <c r="K109" i="69"/>
  <c r="O84" i="12"/>
  <c r="D82" i="13"/>
  <c r="N64" i="69"/>
  <c r="L77" i="2"/>
  <c r="L77" i="69"/>
  <c r="D72" i="13"/>
  <c r="O72" i="12"/>
  <c r="J69" i="12"/>
  <c r="M69" i="12"/>
  <c r="G69" i="12"/>
  <c r="L69" i="2"/>
  <c r="L69" i="69"/>
  <c r="L71" i="2"/>
  <c r="L71" i="69"/>
  <c r="J82" i="12"/>
  <c r="G82" i="12"/>
  <c r="M82" i="12"/>
  <c r="J83" i="12"/>
  <c r="G83" i="12"/>
  <c r="M83" i="12"/>
  <c r="N77" i="2" l="1"/>
  <c r="C77" i="21" s="1"/>
  <c r="C77" i="24" s="1"/>
  <c r="T75" i="69"/>
  <c r="V75" i="69"/>
  <c r="R75" i="69"/>
  <c r="P75" i="2"/>
  <c r="C75" i="21"/>
  <c r="C75" i="24" s="1"/>
  <c r="N77" i="69"/>
  <c r="R77" i="69" s="1"/>
  <c r="N71" i="69"/>
  <c r="R71" i="69" s="1"/>
  <c r="N67" i="69"/>
  <c r="R67" i="69" s="1"/>
  <c r="N76" i="2"/>
  <c r="N71" i="2"/>
  <c r="C71" i="21" s="1"/>
  <c r="C71" i="24" s="1"/>
  <c r="AA42" i="8"/>
  <c r="AA40" i="8" s="1"/>
  <c r="AD40" i="8" s="1"/>
  <c r="O80" i="21"/>
  <c r="F80" i="21"/>
  <c r="N95" i="2"/>
  <c r="N69" i="69"/>
  <c r="V69" i="69" s="1"/>
  <c r="N95" i="69"/>
  <c r="N69" i="2"/>
  <c r="C69" i="21" s="1"/>
  <c r="C69" i="24" s="1"/>
  <c r="F79" i="21"/>
  <c r="O79" i="21"/>
  <c r="J94" i="13"/>
  <c r="G94" i="13"/>
  <c r="N76" i="69"/>
  <c r="R76" i="69" s="1"/>
  <c r="O78" i="21"/>
  <c r="F78" i="21"/>
  <c r="D98" i="13"/>
  <c r="O100" i="12"/>
  <c r="D74" i="13"/>
  <c r="O75" i="12"/>
  <c r="J82" i="13"/>
  <c r="G82" i="13"/>
  <c r="M99" i="69"/>
  <c r="M99" i="2"/>
  <c r="L74" i="69"/>
  <c r="L74" i="2"/>
  <c r="L99" i="69"/>
  <c r="L99" i="2"/>
  <c r="D81" i="13"/>
  <c r="O83" i="12"/>
  <c r="N83" i="69"/>
  <c r="J18" i="26"/>
  <c r="J42" i="8"/>
  <c r="M12" i="8"/>
  <c r="I86" i="3"/>
  <c r="H87" i="3"/>
  <c r="I87" i="3" s="1"/>
  <c r="AE12" i="8"/>
  <c r="AE18" i="8" s="1"/>
  <c r="AF18" i="8"/>
  <c r="M81" i="69"/>
  <c r="M81" i="2"/>
  <c r="O74" i="12"/>
  <c r="D73" i="13"/>
  <c r="N67" i="2"/>
  <c r="M66" i="2"/>
  <c r="M66" i="69"/>
  <c r="L70" i="69"/>
  <c r="L70" i="2"/>
  <c r="P77" i="2"/>
  <c r="L82" i="69"/>
  <c r="L82" i="2"/>
  <c r="L73" i="2"/>
  <c r="L73" i="69"/>
  <c r="M70" i="69"/>
  <c r="M70" i="2"/>
  <c r="D69" i="13"/>
  <c r="O69" i="12"/>
  <c r="D67" i="13"/>
  <c r="O67" i="12"/>
  <c r="D71" i="13"/>
  <c r="O71" i="12"/>
  <c r="L68" i="69"/>
  <c r="L68" i="2"/>
  <c r="J68" i="13"/>
  <c r="G68" i="13"/>
  <c r="J70" i="13"/>
  <c r="G70" i="13"/>
  <c r="M82" i="69"/>
  <c r="M82" i="2"/>
  <c r="N83" i="2"/>
  <c r="G76" i="13"/>
  <c r="J76" i="13"/>
  <c r="J72" i="13"/>
  <c r="G72" i="13"/>
  <c r="M73" i="2"/>
  <c r="M73" i="69"/>
  <c r="L65" i="13"/>
  <c r="L66" i="2"/>
  <c r="L66" i="69"/>
  <c r="D80" i="13"/>
  <c r="O82" i="12"/>
  <c r="L81" i="2"/>
  <c r="L81" i="69"/>
  <c r="M68" i="2"/>
  <c r="M68" i="69"/>
  <c r="V64" i="69"/>
  <c r="R64" i="69"/>
  <c r="T64" i="69"/>
  <c r="M74" i="69"/>
  <c r="M74" i="2"/>
  <c r="G75" i="13"/>
  <c r="J75" i="13"/>
  <c r="P64" i="2"/>
  <c r="C64" i="21"/>
  <c r="F75" i="24" l="1"/>
  <c r="D75" i="21" s="1"/>
  <c r="L75" i="24"/>
  <c r="J75" i="21" s="1"/>
  <c r="I75" i="24"/>
  <c r="G75" i="21" s="1"/>
  <c r="P76" i="2"/>
  <c r="V77" i="69"/>
  <c r="T77" i="69"/>
  <c r="T71" i="69"/>
  <c r="P71" i="2"/>
  <c r="V71" i="69"/>
  <c r="T67" i="69"/>
  <c r="V67" i="69"/>
  <c r="L94" i="13"/>
  <c r="N70" i="69"/>
  <c r="T70" i="69" s="1"/>
  <c r="C76" i="21"/>
  <c r="C76" i="24" s="1"/>
  <c r="L70" i="13"/>
  <c r="AA38" i="8"/>
  <c r="AD38" i="8" s="1"/>
  <c r="N66" i="69"/>
  <c r="V66" i="69" s="1"/>
  <c r="N66" i="2"/>
  <c r="P66" i="2" s="1"/>
  <c r="AD42" i="8"/>
  <c r="AE40" i="8" s="1"/>
  <c r="N70" i="2"/>
  <c r="P70" i="2" s="1"/>
  <c r="L68" i="13"/>
  <c r="N72" i="2"/>
  <c r="L82" i="13"/>
  <c r="N68" i="69"/>
  <c r="R68" i="69" s="1"/>
  <c r="P69" i="2"/>
  <c r="V95" i="69"/>
  <c r="R95" i="69"/>
  <c r="T95" i="69"/>
  <c r="T69" i="69"/>
  <c r="C95" i="21"/>
  <c r="C95" i="24" s="1"/>
  <c r="R69" i="69"/>
  <c r="N82" i="2"/>
  <c r="P82" i="2" s="1"/>
  <c r="N82" i="69"/>
  <c r="V82" i="69" s="1"/>
  <c r="T76" i="69"/>
  <c r="V76" i="69"/>
  <c r="L69" i="24"/>
  <c r="J69" i="21" s="1"/>
  <c r="L69" i="21" s="1"/>
  <c r="F69" i="24"/>
  <c r="I69" i="24"/>
  <c r="G69" i="21" s="1"/>
  <c r="I69" i="21" s="1"/>
  <c r="J71" i="13"/>
  <c r="G71" i="13"/>
  <c r="G81" i="13"/>
  <c r="J81" i="13"/>
  <c r="G67" i="13"/>
  <c r="J67" i="13"/>
  <c r="N99" i="2"/>
  <c r="L75" i="13"/>
  <c r="N81" i="69"/>
  <c r="C83" i="21"/>
  <c r="C83" i="24" s="1"/>
  <c r="P83" i="2"/>
  <c r="N72" i="69"/>
  <c r="K85" i="69"/>
  <c r="K85" i="2"/>
  <c r="N99" i="69"/>
  <c r="J74" i="13"/>
  <c r="G74" i="13"/>
  <c r="J80" i="13"/>
  <c r="G80" i="13"/>
  <c r="K18" i="26"/>
  <c r="J16" i="26"/>
  <c r="K16" i="26" s="1"/>
  <c r="J14" i="26"/>
  <c r="K14" i="26" s="1"/>
  <c r="T83" i="69"/>
  <c r="R83" i="69"/>
  <c r="V83" i="69"/>
  <c r="N81" i="2"/>
  <c r="N73" i="69"/>
  <c r="N12" i="8"/>
  <c r="O18" i="8"/>
  <c r="N74" i="2"/>
  <c r="L77" i="24"/>
  <c r="J77" i="21" s="1"/>
  <c r="L77" i="21" s="1"/>
  <c r="F77" i="24"/>
  <c r="I77" i="24"/>
  <c r="G77" i="21" s="1"/>
  <c r="I77" i="21" s="1"/>
  <c r="J73" i="13"/>
  <c r="G73" i="13"/>
  <c r="C64" i="24"/>
  <c r="G69" i="13"/>
  <c r="J69" i="13"/>
  <c r="C70" i="21"/>
  <c r="C70" i="24" s="1"/>
  <c r="L76" i="13"/>
  <c r="K86" i="2"/>
  <c r="K86" i="69"/>
  <c r="L72" i="13"/>
  <c r="N68" i="2"/>
  <c r="N73" i="2"/>
  <c r="I71" i="24"/>
  <c r="G71" i="21" s="1"/>
  <c r="I71" i="21" s="1"/>
  <c r="F71" i="24"/>
  <c r="L71" i="24"/>
  <c r="J71" i="21" s="1"/>
  <c r="L71" i="21" s="1"/>
  <c r="P67" i="2"/>
  <c r="C67" i="21"/>
  <c r="C67" i="24" s="1"/>
  <c r="M42" i="8"/>
  <c r="J38" i="8"/>
  <c r="M38" i="8" s="1"/>
  <c r="J40" i="8"/>
  <c r="M40" i="8" s="1"/>
  <c r="N74" i="69"/>
  <c r="G98" i="13"/>
  <c r="J98" i="13"/>
  <c r="P72" i="2" l="1"/>
  <c r="C72" i="21"/>
  <c r="C72" i="24" s="1"/>
  <c r="N75" i="24"/>
  <c r="V70" i="69"/>
  <c r="R70" i="69"/>
  <c r="R66" i="69"/>
  <c r="T66" i="69"/>
  <c r="C66" i="21"/>
  <c r="C66" i="24" s="1"/>
  <c r="AE38" i="8"/>
  <c r="AA36" i="8"/>
  <c r="AD36" i="8" s="1"/>
  <c r="AF42" i="8" s="1"/>
  <c r="L74" i="13"/>
  <c r="N38" i="8"/>
  <c r="L86" i="12" s="1"/>
  <c r="L87" i="12" s="1"/>
  <c r="T68" i="69"/>
  <c r="L71" i="13"/>
  <c r="N40" i="8"/>
  <c r="I86" i="12" s="1"/>
  <c r="I87" i="12" s="1"/>
  <c r="J36" i="8"/>
  <c r="M36" i="8" s="1"/>
  <c r="N36" i="8" s="1"/>
  <c r="L73" i="13"/>
  <c r="T82" i="69"/>
  <c r="V68" i="69"/>
  <c r="J12" i="26"/>
  <c r="K12" i="26" s="1"/>
  <c r="L14" i="26"/>
  <c r="S85" i="69" s="1"/>
  <c r="L80" i="13"/>
  <c r="R82" i="69"/>
  <c r="C82" i="21"/>
  <c r="C82" i="24" s="1"/>
  <c r="F82" i="24" s="1"/>
  <c r="L16" i="26"/>
  <c r="K85" i="24" s="1"/>
  <c r="K86" i="24" s="1"/>
  <c r="L95" i="24"/>
  <c r="J95" i="21" s="1"/>
  <c r="I95" i="24"/>
  <c r="G95" i="21" s="1"/>
  <c r="F95" i="24"/>
  <c r="L67" i="13"/>
  <c r="N71" i="24"/>
  <c r="D71" i="21"/>
  <c r="L81" i="13"/>
  <c r="D77" i="21"/>
  <c r="N77" i="24"/>
  <c r="C99" i="21"/>
  <c r="P99" i="2"/>
  <c r="R74" i="69"/>
  <c r="T74" i="69"/>
  <c r="V74" i="69"/>
  <c r="I64" i="24"/>
  <c r="G64" i="21" s="1"/>
  <c r="I64" i="21" s="1"/>
  <c r="L64" i="24"/>
  <c r="J64" i="21" s="1"/>
  <c r="L64" i="21" s="1"/>
  <c r="F64" i="24"/>
  <c r="L83" i="24"/>
  <c r="J83" i="21" s="1"/>
  <c r="L83" i="21" s="1"/>
  <c r="F83" i="24"/>
  <c r="I83" i="24"/>
  <c r="G83" i="21" s="1"/>
  <c r="I83" i="21" s="1"/>
  <c r="P74" i="2"/>
  <c r="C74" i="21"/>
  <c r="D69" i="21"/>
  <c r="N69" i="24"/>
  <c r="N18" i="8"/>
  <c r="E86" i="3"/>
  <c r="V72" i="69"/>
  <c r="T72" i="69"/>
  <c r="R72" i="69"/>
  <c r="L70" i="24"/>
  <c r="J70" i="21" s="1"/>
  <c r="L70" i="21" s="1"/>
  <c r="I70" i="24"/>
  <c r="G70" i="21" s="1"/>
  <c r="I70" i="21" s="1"/>
  <c r="F70" i="24"/>
  <c r="R73" i="69"/>
  <c r="T73" i="69"/>
  <c r="V73" i="69"/>
  <c r="C81" i="21"/>
  <c r="P81" i="2"/>
  <c r="R99" i="69"/>
  <c r="T99" i="69"/>
  <c r="V99" i="69"/>
  <c r="C73" i="21"/>
  <c r="P73" i="2"/>
  <c r="L69" i="13"/>
  <c r="L76" i="24"/>
  <c r="I76" i="24"/>
  <c r="F76" i="24"/>
  <c r="F75" i="21" s="1"/>
  <c r="R81" i="69"/>
  <c r="V81" i="69"/>
  <c r="T81" i="69"/>
  <c r="P68" i="2"/>
  <c r="C68" i="21"/>
  <c r="I67" i="24"/>
  <c r="G67" i="21" s="1"/>
  <c r="I67" i="21" s="1"/>
  <c r="L67" i="24"/>
  <c r="J67" i="21" s="1"/>
  <c r="L67" i="21" s="1"/>
  <c r="F67" i="24"/>
  <c r="L98" i="13"/>
  <c r="F72" i="24" l="1"/>
  <c r="D72" i="21" s="1"/>
  <c r="I72" i="24"/>
  <c r="G72" i="21" s="1"/>
  <c r="L72" i="24"/>
  <c r="J72" i="21" s="1"/>
  <c r="G76" i="21"/>
  <c r="I76" i="21" s="1"/>
  <c r="I75" i="21"/>
  <c r="J76" i="21"/>
  <c r="L76" i="21" s="1"/>
  <c r="L75" i="21"/>
  <c r="M109" i="2"/>
  <c r="M108" i="2" s="1"/>
  <c r="M109" i="69"/>
  <c r="N108" i="69"/>
  <c r="AE36" i="8"/>
  <c r="AE42" i="8" s="1"/>
  <c r="N42" i="8"/>
  <c r="F87" i="12"/>
  <c r="P87" i="12" s="1"/>
  <c r="Q87" i="12" s="1"/>
  <c r="L109" i="2"/>
  <c r="L108" i="2" s="1"/>
  <c r="L109" i="69"/>
  <c r="O42" i="8"/>
  <c r="F86" i="12"/>
  <c r="P86" i="12" s="1"/>
  <c r="Q86" i="12" s="1"/>
  <c r="H85" i="24"/>
  <c r="H86" i="24" s="1"/>
  <c r="S86" i="69"/>
  <c r="U86" i="69"/>
  <c r="I82" i="24"/>
  <c r="G82" i="21" s="1"/>
  <c r="I82" i="21" s="1"/>
  <c r="L12" i="26"/>
  <c r="M18" i="26"/>
  <c r="U85" i="69"/>
  <c r="L82" i="24"/>
  <c r="J82" i="21" s="1"/>
  <c r="L82" i="21" s="1"/>
  <c r="N95" i="24"/>
  <c r="D95" i="21"/>
  <c r="O95" i="21" s="1"/>
  <c r="F66" i="24"/>
  <c r="I66" i="24"/>
  <c r="G66" i="21" s="1"/>
  <c r="I66" i="21" s="1"/>
  <c r="L66" i="24"/>
  <c r="J66" i="21" s="1"/>
  <c r="L66" i="21" s="1"/>
  <c r="D76" i="21"/>
  <c r="N76" i="24"/>
  <c r="F69" i="21"/>
  <c r="O69" i="21"/>
  <c r="C73" i="24"/>
  <c r="N64" i="24"/>
  <c r="D64" i="21"/>
  <c r="C81" i="24"/>
  <c r="N67" i="24"/>
  <c r="D67" i="21"/>
  <c r="C74" i="24"/>
  <c r="N70" i="24"/>
  <c r="D70" i="21"/>
  <c r="F71" i="21"/>
  <c r="O71" i="21"/>
  <c r="D82" i="21"/>
  <c r="C99" i="24"/>
  <c r="F77" i="21"/>
  <c r="O77" i="21"/>
  <c r="C68" i="24"/>
  <c r="F86" i="3"/>
  <c r="E87" i="3"/>
  <c r="O86" i="3"/>
  <c r="P86" i="3" s="1"/>
  <c r="D83" i="21"/>
  <c r="N83" i="24"/>
  <c r="C7" i="73" l="1"/>
  <c r="J28" i="73" s="1"/>
  <c r="J27" i="73" s="1"/>
  <c r="M27" i="73" s="1"/>
  <c r="K11" i="73" s="1"/>
  <c r="E13" i="1"/>
  <c r="N72" i="24"/>
  <c r="O75" i="21"/>
  <c r="N108" i="2"/>
  <c r="Q86" i="69"/>
  <c r="Y86" i="69" s="1"/>
  <c r="L18" i="26"/>
  <c r="Q85" i="69"/>
  <c r="Y85" i="69" s="1"/>
  <c r="E85" i="24"/>
  <c r="N82" i="24"/>
  <c r="L68" i="24"/>
  <c r="J68" i="21" s="1"/>
  <c r="L68" i="21" s="1"/>
  <c r="F68" i="24"/>
  <c r="I68" i="24"/>
  <c r="G68" i="21" s="1"/>
  <c r="I68" i="21" s="1"/>
  <c r="F99" i="24"/>
  <c r="L99" i="24"/>
  <c r="J99" i="21" s="1"/>
  <c r="L99" i="21" s="1"/>
  <c r="I99" i="24"/>
  <c r="G99" i="21" s="1"/>
  <c r="I99" i="21" s="1"/>
  <c r="F83" i="21"/>
  <c r="O83" i="21"/>
  <c r="F64" i="21"/>
  <c r="O64" i="21"/>
  <c r="F76" i="21"/>
  <c r="O76" i="21"/>
  <c r="O82" i="21"/>
  <c r="F82" i="21"/>
  <c r="F87" i="3"/>
  <c r="O87" i="3"/>
  <c r="P87" i="3" s="1"/>
  <c r="F74" i="24"/>
  <c r="L74" i="24"/>
  <c r="J74" i="21" s="1"/>
  <c r="L74" i="21" s="1"/>
  <c r="I74" i="24"/>
  <c r="G74" i="21" s="1"/>
  <c r="I74" i="21" s="1"/>
  <c r="F67" i="21"/>
  <c r="O67" i="21"/>
  <c r="F73" i="24"/>
  <c r="L73" i="24"/>
  <c r="I73" i="24"/>
  <c r="F70" i="21"/>
  <c r="O70" i="21"/>
  <c r="F81" i="24"/>
  <c r="L81" i="24"/>
  <c r="J81" i="21" s="1"/>
  <c r="L81" i="21" s="1"/>
  <c r="I81" i="24"/>
  <c r="G81" i="21" s="1"/>
  <c r="I81" i="21" s="1"/>
  <c r="D86" i="12"/>
  <c r="N86" i="3"/>
  <c r="N66" i="24"/>
  <c r="D66" i="21"/>
  <c r="J26" i="73" l="1"/>
  <c r="S8" i="73"/>
  <c r="T8" i="73" s="1"/>
  <c r="U8" i="73" s="1"/>
  <c r="W8" i="73" s="1"/>
  <c r="X8" i="73" s="1"/>
  <c r="Y8" i="73" s="1"/>
  <c r="Z8" i="73" s="1"/>
  <c r="AB8" i="73" s="1"/>
  <c r="AC8" i="73" s="1"/>
  <c r="AD8" i="73" s="1"/>
  <c r="S9" i="73"/>
  <c r="T9" i="73" s="1"/>
  <c r="U9" i="73" s="1"/>
  <c r="W9" i="73" s="1"/>
  <c r="X9" i="73" s="1"/>
  <c r="Y9" i="73" s="1"/>
  <c r="Z9" i="73" s="1"/>
  <c r="AB9" i="73" s="1"/>
  <c r="AC9" i="73" s="1"/>
  <c r="AD9" i="73" s="1"/>
  <c r="S6" i="73"/>
  <c r="T6" i="73" s="1"/>
  <c r="U6" i="73" s="1"/>
  <c r="W6" i="73" s="1"/>
  <c r="X6" i="73" s="1"/>
  <c r="Y6" i="73" s="1"/>
  <c r="Z6" i="73" s="1"/>
  <c r="AB6" i="73" s="1"/>
  <c r="AC6" i="73" s="1"/>
  <c r="AD6" i="73" s="1"/>
  <c r="S7" i="73"/>
  <c r="T7" i="73" s="1"/>
  <c r="U7" i="73" s="1"/>
  <c r="W7" i="73" s="1"/>
  <c r="X7" i="73" s="1"/>
  <c r="Y7" i="73" s="1"/>
  <c r="Z7" i="73" s="1"/>
  <c r="AB7" i="73" s="1"/>
  <c r="AC7" i="73" s="1"/>
  <c r="AD7" i="73" s="1"/>
  <c r="I11" i="73"/>
  <c r="M11" i="73"/>
  <c r="G73" i="21"/>
  <c r="I73" i="21" s="1"/>
  <c r="I72" i="21"/>
  <c r="J73" i="21"/>
  <c r="L73" i="21" s="1"/>
  <c r="L72" i="21"/>
  <c r="F72" i="21"/>
  <c r="O72" i="21"/>
  <c r="P108" i="2"/>
  <c r="C108" i="21"/>
  <c r="D108" i="21" s="1"/>
  <c r="N109" i="2"/>
  <c r="E86" i="24"/>
  <c r="O86" i="24" s="1"/>
  <c r="P86" i="24" s="1"/>
  <c r="O85" i="24"/>
  <c r="P85" i="24" s="1"/>
  <c r="G86" i="12"/>
  <c r="M86" i="12"/>
  <c r="J86" i="12"/>
  <c r="N73" i="24"/>
  <c r="D73" i="21"/>
  <c r="D99" i="21"/>
  <c r="N99" i="24"/>
  <c r="N87" i="3"/>
  <c r="D87" i="12"/>
  <c r="F66" i="21"/>
  <c r="O66" i="21"/>
  <c r="D74" i="21"/>
  <c r="N74" i="24"/>
  <c r="D81" i="21"/>
  <c r="N81" i="24"/>
  <c r="D68" i="21"/>
  <c r="N68" i="24"/>
  <c r="D109" i="21" l="1"/>
  <c r="C7" i="78"/>
  <c r="J28" i="78" s="1"/>
  <c r="J108" i="21"/>
  <c r="E13" i="18"/>
  <c r="G108" i="21"/>
  <c r="C7" i="79" s="1"/>
  <c r="J28" i="79" s="1"/>
  <c r="C109" i="21"/>
  <c r="L85" i="69"/>
  <c r="L85" i="2"/>
  <c r="F99" i="21"/>
  <c r="O99" i="21"/>
  <c r="M85" i="2"/>
  <c r="M85" i="69"/>
  <c r="F81" i="21"/>
  <c r="O81" i="21"/>
  <c r="D84" i="13"/>
  <c r="O86" i="12"/>
  <c r="M87" i="12"/>
  <c r="J87" i="12"/>
  <c r="G87" i="12"/>
  <c r="F73" i="21"/>
  <c r="O73" i="21"/>
  <c r="F68" i="21"/>
  <c r="O68" i="21"/>
  <c r="F74" i="21"/>
  <c r="O74" i="21"/>
  <c r="S6" i="78" l="1"/>
  <c r="T6" i="78" s="1"/>
  <c r="U6" i="78" s="1"/>
  <c r="W6" i="78" s="1"/>
  <c r="X6" i="78" s="1"/>
  <c r="Y6" i="78" s="1"/>
  <c r="Z6" i="78" s="1"/>
  <c r="AB6" i="78" s="1"/>
  <c r="AC6" i="78" s="1"/>
  <c r="AD6" i="78" s="1"/>
  <c r="S7" i="78"/>
  <c r="T7" i="78" s="1"/>
  <c r="U7" i="78" s="1"/>
  <c r="W7" i="78" s="1"/>
  <c r="X7" i="78" s="1"/>
  <c r="Y7" i="78" s="1"/>
  <c r="Z7" i="78" s="1"/>
  <c r="AB7" i="78" s="1"/>
  <c r="AC7" i="78" s="1"/>
  <c r="AD7" i="78" s="1"/>
  <c r="S9" i="78"/>
  <c r="T9" i="78" s="1"/>
  <c r="U9" i="78" s="1"/>
  <c r="W9" i="78" s="1"/>
  <c r="X9" i="78" s="1"/>
  <c r="Y9" i="78" s="1"/>
  <c r="Z9" i="78" s="1"/>
  <c r="AB9" i="78" s="1"/>
  <c r="AC9" i="78" s="1"/>
  <c r="AD9" i="78" s="1"/>
  <c r="S8" i="78"/>
  <c r="T8" i="78" s="1"/>
  <c r="U8" i="78" s="1"/>
  <c r="W8" i="78" s="1"/>
  <c r="X8" i="78" s="1"/>
  <c r="Y8" i="78" s="1"/>
  <c r="Z8" i="78" s="1"/>
  <c r="AB8" i="78" s="1"/>
  <c r="AC8" i="78" s="1"/>
  <c r="AD8" i="78" s="1"/>
  <c r="J27" i="78"/>
  <c r="M27" i="78" s="1"/>
  <c r="K11" i="78" s="1"/>
  <c r="J26" i="78"/>
  <c r="S8" i="79"/>
  <c r="T8" i="79" s="1"/>
  <c r="U8" i="79" s="1"/>
  <c r="W8" i="79" s="1"/>
  <c r="X8" i="79" s="1"/>
  <c r="Y8" i="79" s="1"/>
  <c r="Z8" i="79" s="1"/>
  <c r="AB8" i="79" s="1"/>
  <c r="AC8" i="79" s="1"/>
  <c r="AD8" i="79" s="1"/>
  <c r="S9" i="79"/>
  <c r="T9" i="79" s="1"/>
  <c r="U9" i="79" s="1"/>
  <c r="W9" i="79" s="1"/>
  <c r="X9" i="79" s="1"/>
  <c r="Y9" i="79" s="1"/>
  <c r="Z9" i="79" s="1"/>
  <c r="AB9" i="79" s="1"/>
  <c r="AC9" i="79" s="1"/>
  <c r="AD9" i="79" s="1"/>
  <c r="S7" i="79"/>
  <c r="T7" i="79" s="1"/>
  <c r="U7" i="79" s="1"/>
  <c r="W7" i="79" s="1"/>
  <c r="X7" i="79" s="1"/>
  <c r="Y7" i="79" s="1"/>
  <c r="Z7" i="79" s="1"/>
  <c r="AB7" i="79" s="1"/>
  <c r="AC7" i="79" s="1"/>
  <c r="AD7" i="79" s="1"/>
  <c r="J27" i="79"/>
  <c r="M27" i="79" s="1"/>
  <c r="K11" i="79" s="1"/>
  <c r="S6" i="79"/>
  <c r="T6" i="79" s="1"/>
  <c r="U6" i="79" s="1"/>
  <c r="W6" i="79" s="1"/>
  <c r="X6" i="79" s="1"/>
  <c r="Y6" i="79" s="1"/>
  <c r="Z6" i="79" s="1"/>
  <c r="AB6" i="79" s="1"/>
  <c r="AC6" i="79" s="1"/>
  <c r="AD6" i="79" s="1"/>
  <c r="J26" i="79"/>
  <c r="E13" i="20"/>
  <c r="C7" i="80"/>
  <c r="J28" i="80" s="1"/>
  <c r="O108" i="21"/>
  <c r="J109" i="21"/>
  <c r="E13" i="19"/>
  <c r="G109" i="21"/>
  <c r="N85" i="69"/>
  <c r="V85" i="69" s="1"/>
  <c r="N85" i="2"/>
  <c r="M86" i="2"/>
  <c r="M86" i="69"/>
  <c r="D85" i="13"/>
  <c r="O87" i="12"/>
  <c r="L86" i="69"/>
  <c r="L86" i="2"/>
  <c r="G84" i="13"/>
  <c r="M11" i="78" l="1"/>
  <c r="I11" i="78"/>
  <c r="S9" i="80"/>
  <c r="T9" i="80" s="1"/>
  <c r="U9" i="80" s="1"/>
  <c r="W9" i="80" s="1"/>
  <c r="X9" i="80" s="1"/>
  <c r="Y9" i="80" s="1"/>
  <c r="Z9" i="80" s="1"/>
  <c r="AB9" i="80" s="1"/>
  <c r="AC9" i="80" s="1"/>
  <c r="AD9" i="80" s="1"/>
  <c r="S8" i="80"/>
  <c r="T8" i="80" s="1"/>
  <c r="U8" i="80" s="1"/>
  <c r="W8" i="80" s="1"/>
  <c r="X8" i="80" s="1"/>
  <c r="Y8" i="80" s="1"/>
  <c r="Z8" i="80" s="1"/>
  <c r="AB8" i="80" s="1"/>
  <c r="AC8" i="80" s="1"/>
  <c r="AD8" i="80" s="1"/>
  <c r="J27" i="80"/>
  <c r="M27" i="80" s="1"/>
  <c r="K11" i="80" s="1"/>
  <c r="S6" i="80"/>
  <c r="T6" i="80" s="1"/>
  <c r="U6" i="80" s="1"/>
  <c r="W6" i="80" s="1"/>
  <c r="X6" i="80" s="1"/>
  <c r="Y6" i="80" s="1"/>
  <c r="Z6" i="80" s="1"/>
  <c r="AB6" i="80" s="1"/>
  <c r="AC6" i="80" s="1"/>
  <c r="AD6" i="80" s="1"/>
  <c r="S7" i="80"/>
  <c r="T7" i="80" s="1"/>
  <c r="U7" i="80" s="1"/>
  <c r="W7" i="80" s="1"/>
  <c r="X7" i="80" s="1"/>
  <c r="Y7" i="80" s="1"/>
  <c r="Z7" i="80" s="1"/>
  <c r="AB7" i="80" s="1"/>
  <c r="AC7" i="80" s="1"/>
  <c r="AD7" i="80" s="1"/>
  <c r="J26" i="80"/>
  <c r="I11" i="79"/>
  <c r="M11" i="79"/>
  <c r="N86" i="2"/>
  <c r="P86" i="2" s="1"/>
  <c r="R85" i="69"/>
  <c r="T85" i="69"/>
  <c r="N86" i="69"/>
  <c r="J85" i="13"/>
  <c r="G85" i="13"/>
  <c r="L84" i="13"/>
  <c r="F84" i="13"/>
  <c r="I84" i="13"/>
  <c r="P85" i="2"/>
  <c r="C85" i="21"/>
  <c r="M11" i="80" l="1"/>
  <c r="I11" i="80"/>
  <c r="C86" i="21"/>
  <c r="C86" i="24" s="1"/>
  <c r="I86" i="24" s="1"/>
  <c r="G86" i="21" s="1"/>
  <c r="I86" i="21" s="1"/>
  <c r="L85" i="13"/>
  <c r="C85" i="24"/>
  <c r="M84" i="13"/>
  <c r="N84" i="13" s="1"/>
  <c r="T86" i="69"/>
  <c r="R86" i="69"/>
  <c r="V86" i="69"/>
  <c r="F86" i="24" l="1"/>
  <c r="D86" i="21" s="1"/>
  <c r="L86" i="24"/>
  <c r="J86" i="21" s="1"/>
  <c r="L86" i="21" s="1"/>
  <c r="F85" i="24"/>
  <c r="L85" i="24"/>
  <c r="I85" i="24"/>
  <c r="N86" i="24" l="1"/>
  <c r="D85" i="21"/>
  <c r="N85" i="24"/>
  <c r="J85" i="21"/>
  <c r="G85" i="21"/>
  <c r="F86" i="21"/>
  <c r="O86" i="21"/>
  <c r="F85" i="21" l="1"/>
  <c r="O85" i="21"/>
  <c r="I85" i="21"/>
  <c r="L85" i="21"/>
  <c r="H19" i="14"/>
  <c r="H20" i="16"/>
  <c r="H25" i="15"/>
  <c r="H26" i="15"/>
  <c r="H46" i="15"/>
  <c r="H43" i="32"/>
  <c r="R14" i="32" s="1"/>
  <c r="P13" i="32" l="1"/>
  <c r="Q13" i="32" s="1"/>
  <c r="Q37" i="32" s="1"/>
  <c r="R13" i="32" l="1"/>
  <c r="Q46" i="32"/>
  <c r="R37" i="32"/>
  <c r="C16" i="40"/>
  <c r="H14" i="9" l="1"/>
  <c r="H65" i="69" s="1"/>
  <c r="C36" i="40"/>
  <c r="D16" i="40"/>
  <c r="D36" i="40" s="1"/>
  <c r="D40" i="40" s="1"/>
  <c r="D44" i="40" s="1"/>
  <c r="H71" i="9" s="1"/>
  <c r="H16" i="9" l="1"/>
  <c r="H65" i="2"/>
  <c r="J65" i="2" s="1"/>
  <c r="I65" i="69"/>
  <c r="H94" i="69"/>
  <c r="I94" i="69" s="1"/>
  <c r="H94" i="2"/>
  <c r="J94" i="2" s="1"/>
  <c r="H102" i="69" l="1"/>
  <c r="H104" i="69" s="1"/>
  <c r="C95" i="3"/>
  <c r="C66" i="3"/>
  <c r="I102" i="69"/>
  <c r="J102" i="2"/>
  <c r="H102" i="2"/>
  <c r="H104" i="2" s="1"/>
  <c r="J104" i="2" l="1"/>
  <c r="J106" i="2"/>
  <c r="I104" i="69"/>
  <c r="I106" i="69"/>
  <c r="C103" i="3"/>
  <c r="I66" i="3"/>
  <c r="L66" i="3"/>
  <c r="F66" i="3"/>
  <c r="I95" i="3"/>
  <c r="L95" i="3"/>
  <c r="F95" i="3"/>
  <c r="L103" i="3" l="1"/>
  <c r="K103" i="3" s="1"/>
  <c r="N66" i="3"/>
  <c r="F103" i="3"/>
  <c r="D66" i="12"/>
  <c r="C107" i="3"/>
  <c r="C105" i="3"/>
  <c r="N95" i="3"/>
  <c r="D95" i="12"/>
  <c r="I103" i="3"/>
  <c r="K65" i="69"/>
  <c r="K65" i="2"/>
  <c r="K94" i="69"/>
  <c r="K94" i="2"/>
  <c r="L105" i="3" l="1"/>
  <c r="K105" i="3" s="1"/>
  <c r="L107" i="3"/>
  <c r="I105" i="3"/>
  <c r="H105" i="3" s="1"/>
  <c r="H103" i="3"/>
  <c r="I107" i="3"/>
  <c r="K102" i="2"/>
  <c r="K102" i="69"/>
  <c r="D118" i="12"/>
  <c r="M66" i="12"/>
  <c r="G66" i="12"/>
  <c r="J66" i="12"/>
  <c r="D103" i="12"/>
  <c r="F107" i="3"/>
  <c r="F105" i="3"/>
  <c r="E105" i="3" s="1"/>
  <c r="E103" i="3"/>
  <c r="N103" i="3"/>
  <c r="O103" i="3" l="1"/>
  <c r="O105" i="3"/>
  <c r="K104" i="2"/>
  <c r="K106" i="2"/>
  <c r="L65" i="2"/>
  <c r="L65" i="69"/>
  <c r="J118" i="12"/>
  <c r="M65" i="2"/>
  <c r="M118" i="12"/>
  <c r="M65" i="69"/>
  <c r="D107" i="12"/>
  <c r="D105" i="12"/>
  <c r="O66" i="12"/>
  <c r="G118" i="12"/>
  <c r="D66" i="13"/>
  <c r="N105" i="3"/>
  <c r="N107" i="3"/>
  <c r="K106" i="69"/>
  <c r="K104" i="69"/>
  <c r="M93" i="12" l="1"/>
  <c r="M94" i="12"/>
  <c r="M95" i="12"/>
  <c r="D116" i="13"/>
  <c r="G66" i="13"/>
  <c r="J66" i="13"/>
  <c r="R118" i="12"/>
  <c r="J94" i="12"/>
  <c r="J95" i="12"/>
  <c r="J93" i="12"/>
  <c r="N65" i="69"/>
  <c r="N65" i="2"/>
  <c r="J116" i="13" l="1"/>
  <c r="G116" i="13"/>
  <c r="L66" i="13"/>
  <c r="V65" i="69"/>
  <c r="T65" i="69"/>
  <c r="R65" i="69"/>
  <c r="L92" i="69"/>
  <c r="I93" i="12"/>
  <c r="L92" i="2"/>
  <c r="G93" i="12"/>
  <c r="J103" i="12"/>
  <c r="L95" i="12"/>
  <c r="M94" i="2"/>
  <c r="M94" i="69"/>
  <c r="L94" i="69"/>
  <c r="L94" i="2"/>
  <c r="I95" i="12"/>
  <c r="G95" i="12"/>
  <c r="M93" i="2"/>
  <c r="M93" i="69"/>
  <c r="L94" i="12"/>
  <c r="P65" i="2"/>
  <c r="C65" i="21"/>
  <c r="I94" i="12"/>
  <c r="G94" i="12"/>
  <c r="L93" i="69"/>
  <c r="L93" i="2"/>
  <c r="M92" i="69"/>
  <c r="M92" i="2"/>
  <c r="L93" i="12"/>
  <c r="M103" i="12"/>
  <c r="N94" i="69" l="1"/>
  <c r="V94" i="69" s="1"/>
  <c r="N93" i="2"/>
  <c r="C93" i="21" s="1"/>
  <c r="M102" i="69"/>
  <c r="M106" i="69" s="1"/>
  <c r="N93" i="69"/>
  <c r="J107" i="12"/>
  <c r="J105" i="12"/>
  <c r="I105" i="12" s="1"/>
  <c r="I103" i="12"/>
  <c r="O94" i="12"/>
  <c r="F94" i="12"/>
  <c r="P94" i="12" s="1"/>
  <c r="Q94" i="12" s="1"/>
  <c r="D92" i="13"/>
  <c r="O95" i="12"/>
  <c r="F95" i="12"/>
  <c r="P95" i="12" s="1"/>
  <c r="Q95" i="12" s="1"/>
  <c r="D93" i="13"/>
  <c r="O93" i="12"/>
  <c r="F93" i="12"/>
  <c r="P93" i="12" s="1"/>
  <c r="Q93" i="12" s="1"/>
  <c r="D91" i="13"/>
  <c r="G103" i="12"/>
  <c r="N92" i="2"/>
  <c r="L102" i="2"/>
  <c r="L103" i="12"/>
  <c r="M105" i="12"/>
  <c r="L105" i="12" s="1"/>
  <c r="M107" i="12"/>
  <c r="C65" i="24"/>
  <c r="N92" i="69"/>
  <c r="L102" i="69"/>
  <c r="J92" i="13"/>
  <c r="J91" i="13"/>
  <c r="J93" i="13"/>
  <c r="N94" i="2"/>
  <c r="M102" i="2"/>
  <c r="R94" i="69" l="1"/>
  <c r="T94" i="69"/>
  <c r="P93" i="2"/>
  <c r="M104" i="69"/>
  <c r="G93" i="13"/>
  <c r="L93" i="13" s="1"/>
  <c r="G92" i="13"/>
  <c r="F92" i="13" s="1"/>
  <c r="L104" i="2"/>
  <c r="L106" i="2"/>
  <c r="M104" i="2"/>
  <c r="M106" i="2"/>
  <c r="C94" i="21"/>
  <c r="P94" i="2"/>
  <c r="C92" i="21"/>
  <c r="P92" i="2"/>
  <c r="N102" i="2"/>
  <c r="R93" i="69"/>
  <c r="V93" i="69"/>
  <c r="T93" i="69"/>
  <c r="I93" i="13"/>
  <c r="I65" i="24"/>
  <c r="F65" i="24"/>
  <c r="L65" i="24"/>
  <c r="I91" i="13"/>
  <c r="J101" i="13"/>
  <c r="F103" i="12"/>
  <c r="P103" i="12" s="1"/>
  <c r="G107" i="12"/>
  <c r="G105" i="12"/>
  <c r="F105" i="12" s="1"/>
  <c r="P105" i="12" s="1"/>
  <c r="I92" i="13"/>
  <c r="G91" i="13"/>
  <c r="D101" i="13"/>
  <c r="C93" i="24"/>
  <c r="L104" i="69"/>
  <c r="L106" i="69"/>
  <c r="T92" i="69"/>
  <c r="R92" i="69"/>
  <c r="V92" i="69"/>
  <c r="N102" i="69"/>
  <c r="O103" i="12"/>
  <c r="E12" i="1" l="1"/>
  <c r="C6" i="73"/>
  <c r="I8" i="73" s="1"/>
  <c r="L92" i="13"/>
  <c r="M92" i="13"/>
  <c r="N92" i="13" s="1"/>
  <c r="F93" i="13"/>
  <c r="M93" i="13" s="1"/>
  <c r="N93" i="13" s="1"/>
  <c r="R102" i="69"/>
  <c r="C6" i="78" s="1"/>
  <c r="I8" i="78" s="1"/>
  <c r="V102" i="69"/>
  <c r="C6" i="80" s="1"/>
  <c r="I8" i="80" s="1"/>
  <c r="O105" i="12"/>
  <c r="O107" i="12"/>
  <c r="D103" i="13"/>
  <c r="D105" i="13"/>
  <c r="N106" i="2"/>
  <c r="N104" i="2"/>
  <c r="L93" i="24"/>
  <c r="J93" i="21" s="1"/>
  <c r="L93" i="21" s="1"/>
  <c r="F93" i="24"/>
  <c r="I93" i="24"/>
  <c r="G93" i="21" s="1"/>
  <c r="I93" i="21" s="1"/>
  <c r="N104" i="69"/>
  <c r="I101" i="13"/>
  <c r="J103" i="13"/>
  <c r="J105" i="13"/>
  <c r="C94" i="24"/>
  <c r="F91" i="13"/>
  <c r="M91" i="13" s="1"/>
  <c r="N91" i="13" s="1"/>
  <c r="L91" i="13"/>
  <c r="G101" i="13"/>
  <c r="J65" i="21"/>
  <c r="T102" i="69"/>
  <c r="C6" i="79" s="1"/>
  <c r="I8" i="79" s="1"/>
  <c r="N65" i="24"/>
  <c r="D65" i="21"/>
  <c r="G65" i="21"/>
  <c r="C92" i="24"/>
  <c r="C102" i="21"/>
  <c r="K8" i="78" l="1"/>
  <c r="I9" i="78"/>
  <c r="I16" i="78"/>
  <c r="AE8" i="78"/>
  <c r="AF8" i="78" s="1"/>
  <c r="AE9" i="78"/>
  <c r="AF9" i="78" s="1"/>
  <c r="AE7" i="78"/>
  <c r="AF7" i="78" s="1"/>
  <c r="AE6" i="78"/>
  <c r="AF6" i="78" s="1"/>
  <c r="I9" i="73"/>
  <c r="K8" i="73"/>
  <c r="I16" i="73"/>
  <c r="AE8" i="73"/>
  <c r="AF8" i="73" s="1"/>
  <c r="AE9" i="73"/>
  <c r="AF9" i="73" s="1"/>
  <c r="AE6" i="73"/>
  <c r="AF6" i="73" s="1"/>
  <c r="AE7" i="73"/>
  <c r="AF7" i="73" s="1"/>
  <c r="I9" i="80"/>
  <c r="I16" i="80"/>
  <c r="K8" i="80"/>
  <c r="AE7" i="80"/>
  <c r="AF7" i="80" s="1"/>
  <c r="AE6" i="80"/>
  <c r="AF6" i="80" s="1"/>
  <c r="AE8" i="80"/>
  <c r="AF8" i="80" s="1"/>
  <c r="AE9" i="80"/>
  <c r="AF9" i="80" s="1"/>
  <c r="I9" i="79"/>
  <c r="I16" i="79"/>
  <c r="K8" i="79"/>
  <c r="AE9" i="79"/>
  <c r="AF9" i="79" s="1"/>
  <c r="AE8" i="79"/>
  <c r="AF8" i="79" s="1"/>
  <c r="AE6" i="79"/>
  <c r="AF6" i="79" s="1"/>
  <c r="AE7" i="79"/>
  <c r="AF7" i="79" s="1"/>
  <c r="L101" i="13"/>
  <c r="L103" i="13" s="1"/>
  <c r="W102" i="69"/>
  <c r="X102" i="69" s="1"/>
  <c r="I103" i="13"/>
  <c r="L65" i="21"/>
  <c r="G105" i="13"/>
  <c r="G103" i="13"/>
  <c r="F103" i="13" s="1"/>
  <c r="F101" i="13"/>
  <c r="M101" i="13" s="1"/>
  <c r="C104" i="21"/>
  <c r="C106" i="21"/>
  <c r="N93" i="24"/>
  <c r="D93" i="21"/>
  <c r="T9" i="1"/>
  <c r="U9" i="1" s="1"/>
  <c r="T11" i="1"/>
  <c r="U11" i="1" s="1"/>
  <c r="T10" i="1"/>
  <c r="U10" i="1" s="1"/>
  <c r="T12" i="1"/>
  <c r="U12" i="1" s="1"/>
  <c r="I65" i="21"/>
  <c r="F65" i="21"/>
  <c r="O65" i="21"/>
  <c r="L92" i="24"/>
  <c r="I92" i="24"/>
  <c r="F92" i="24"/>
  <c r="C102" i="24"/>
  <c r="L94" i="24"/>
  <c r="J94" i="21" s="1"/>
  <c r="L94" i="21" s="1"/>
  <c r="I94" i="24"/>
  <c r="G94" i="21" s="1"/>
  <c r="I94" i="21" s="1"/>
  <c r="F94" i="24"/>
  <c r="L105" i="13" l="1"/>
  <c r="M103" i="13"/>
  <c r="N92" i="24"/>
  <c r="D92" i="21"/>
  <c r="F102" i="24"/>
  <c r="AI33" i="1"/>
  <c r="V9" i="1"/>
  <c r="W9" i="1" s="1"/>
  <c r="X9" i="1" s="1"/>
  <c r="Z9" i="1" s="1"/>
  <c r="AA9" i="1" s="1"/>
  <c r="AB9" i="1" s="1"/>
  <c r="E14" i="1"/>
  <c r="E16" i="1" s="1"/>
  <c r="J92" i="21"/>
  <c r="L102" i="24"/>
  <c r="F93" i="21"/>
  <c r="O93" i="21"/>
  <c r="N94" i="24"/>
  <c r="D94" i="21"/>
  <c r="G92" i="21"/>
  <c r="I102" i="24"/>
  <c r="AI34" i="1"/>
  <c r="V10" i="1"/>
  <c r="W10" i="1" s="1"/>
  <c r="X10" i="1" s="1"/>
  <c r="Z10" i="1" s="1"/>
  <c r="AA10" i="1" s="1"/>
  <c r="AB10" i="1" s="1"/>
  <c r="AI36" i="1"/>
  <c r="V12" i="1"/>
  <c r="W12" i="1" s="1"/>
  <c r="X12" i="1" s="1"/>
  <c r="Z12" i="1" s="1"/>
  <c r="AA12" i="1" s="1"/>
  <c r="AB12" i="1" s="1"/>
  <c r="C104" i="24"/>
  <c r="C106" i="24"/>
  <c r="AI35" i="1"/>
  <c r="V11" i="1"/>
  <c r="W11" i="1" s="1"/>
  <c r="X11" i="1" s="1"/>
  <c r="Z11" i="1" s="1"/>
  <c r="AA11" i="1" s="1"/>
  <c r="AB11" i="1" s="1"/>
  <c r="AE11" i="1" l="1"/>
  <c r="AI26" i="1" s="1"/>
  <c r="AC11" i="1"/>
  <c r="L92" i="21"/>
  <c r="J102" i="21"/>
  <c r="AE9" i="1"/>
  <c r="AI24" i="1" s="1"/>
  <c r="AC9" i="1"/>
  <c r="F104" i="24"/>
  <c r="E104" i="24" s="1"/>
  <c r="E102" i="24"/>
  <c r="F106" i="24"/>
  <c r="F92" i="21"/>
  <c r="O92" i="21"/>
  <c r="D102" i="21"/>
  <c r="AE10" i="1"/>
  <c r="AI25" i="1" s="1"/>
  <c r="AC10" i="1"/>
  <c r="I106" i="24"/>
  <c r="I104" i="24"/>
  <c r="H104" i="24" s="1"/>
  <c r="H102" i="24"/>
  <c r="I92" i="21"/>
  <c r="G102" i="21"/>
  <c r="AE12" i="1"/>
  <c r="AI27" i="1" s="1"/>
  <c r="AC12" i="1"/>
  <c r="F94" i="21"/>
  <c r="O94" i="21"/>
  <c r="K102" i="24"/>
  <c r="L104" i="24"/>
  <c r="K104" i="24" s="1"/>
  <c r="L106" i="24"/>
  <c r="N102" i="24"/>
  <c r="O102" i="24" l="1"/>
  <c r="O104" i="24"/>
  <c r="N104" i="24"/>
  <c r="N106" i="24"/>
  <c r="AI43" i="1"/>
  <c r="U16" i="1"/>
  <c r="AD10" i="1"/>
  <c r="AI19" i="1" s="1"/>
  <c r="G106" i="21"/>
  <c r="G104" i="21"/>
  <c r="E12" i="19"/>
  <c r="U15" i="1"/>
  <c r="AI42" i="1"/>
  <c r="AD9" i="1"/>
  <c r="AI18" i="1" s="1"/>
  <c r="D106" i="21"/>
  <c r="D104" i="21"/>
  <c r="E12" i="18"/>
  <c r="O102" i="21"/>
  <c r="J104" i="21"/>
  <c r="E12" i="20"/>
  <c r="J106" i="21"/>
  <c r="AD12" i="1"/>
  <c r="AI21" i="1" s="1"/>
  <c r="U18" i="1"/>
  <c r="AI45" i="1"/>
  <c r="AD11" i="1"/>
  <c r="AI20" i="1" s="1"/>
  <c r="U17" i="1"/>
  <c r="AI44" i="1"/>
  <c r="AI32" i="1" l="1"/>
  <c r="AI41" i="1"/>
  <c r="AI23" i="1"/>
  <c r="O104" i="21"/>
  <c r="AJ36" i="1"/>
  <c r="V18" i="1"/>
  <c r="W18" i="1" s="1"/>
  <c r="X18" i="1" s="1"/>
  <c r="Z18" i="1" s="1"/>
  <c r="AA18" i="1" s="1"/>
  <c r="AB18" i="1" s="1"/>
  <c r="AJ35" i="1"/>
  <c r="V17" i="1"/>
  <c r="W17" i="1" s="1"/>
  <c r="X17" i="1" s="1"/>
  <c r="Z17" i="1" s="1"/>
  <c r="AA17" i="1" s="1"/>
  <c r="AB17" i="1" s="1"/>
  <c r="V16" i="1"/>
  <c r="W16" i="1" s="1"/>
  <c r="X16" i="1" s="1"/>
  <c r="Z16" i="1" s="1"/>
  <c r="AA16" i="1" s="1"/>
  <c r="AB16" i="1" s="1"/>
  <c r="AJ34" i="1"/>
  <c r="T12" i="20"/>
  <c r="U12" i="20" s="1"/>
  <c r="T9" i="20"/>
  <c r="U9" i="20" s="1"/>
  <c r="T11" i="20"/>
  <c r="U11" i="20" s="1"/>
  <c r="T10" i="20"/>
  <c r="U10" i="20" s="1"/>
  <c r="AJ33" i="1"/>
  <c r="V15" i="1"/>
  <c r="W15" i="1" s="1"/>
  <c r="X15" i="1" s="1"/>
  <c r="Z15" i="1" s="1"/>
  <c r="AA15" i="1" s="1"/>
  <c r="AB15" i="1" s="1"/>
  <c r="T9" i="19"/>
  <c r="U9" i="19" s="1"/>
  <c r="T10" i="19"/>
  <c r="U10" i="19" s="1"/>
  <c r="T11" i="19"/>
  <c r="U11" i="19" s="1"/>
  <c r="T12" i="19"/>
  <c r="U12" i="19" s="1"/>
  <c r="T10" i="18"/>
  <c r="U10" i="18" s="1"/>
  <c r="T9" i="18"/>
  <c r="U9" i="18" s="1"/>
  <c r="T12" i="18"/>
  <c r="U12" i="18" s="1"/>
  <c r="T11" i="18"/>
  <c r="U11" i="18" s="1"/>
  <c r="AI35" i="18" l="1"/>
  <c r="V11" i="18"/>
  <c r="W11" i="18" s="1"/>
  <c r="X11" i="18" s="1"/>
  <c r="Z11" i="18" s="1"/>
  <c r="AA11" i="18" s="1"/>
  <c r="AB11" i="18" s="1"/>
  <c r="AI34" i="19"/>
  <c r="V10" i="19"/>
  <c r="W10" i="19" s="1"/>
  <c r="X10" i="19" s="1"/>
  <c r="Z10" i="19" s="1"/>
  <c r="AA10" i="19" s="1"/>
  <c r="AB10" i="19" s="1"/>
  <c r="AE16" i="1"/>
  <c r="AJ25" i="1" s="1"/>
  <c r="AC16" i="1"/>
  <c r="AI36" i="18"/>
  <c r="V12" i="18"/>
  <c r="W12" i="18" s="1"/>
  <c r="X12" i="18" s="1"/>
  <c r="Z12" i="18" s="1"/>
  <c r="AA12" i="18" s="1"/>
  <c r="AB12" i="18" s="1"/>
  <c r="AI35" i="19"/>
  <c r="V11" i="19"/>
  <c r="W11" i="19" s="1"/>
  <c r="X11" i="19" s="1"/>
  <c r="Z11" i="19" s="1"/>
  <c r="AA11" i="19" s="1"/>
  <c r="AB11" i="19" s="1"/>
  <c r="AI34" i="20"/>
  <c r="V10" i="20"/>
  <c r="W10" i="20" s="1"/>
  <c r="X10" i="20" s="1"/>
  <c r="Z10" i="20" s="1"/>
  <c r="AA10" i="20" s="1"/>
  <c r="AB10" i="20" s="1"/>
  <c r="AE18" i="1"/>
  <c r="AJ27" i="1" s="1"/>
  <c r="AC18" i="1"/>
  <c r="AI34" i="18"/>
  <c r="V10" i="18"/>
  <c r="W10" i="18" s="1"/>
  <c r="X10" i="18" s="1"/>
  <c r="Z10" i="18" s="1"/>
  <c r="AA10" i="18" s="1"/>
  <c r="AB10" i="18" s="1"/>
  <c r="AI35" i="20"/>
  <c r="V11" i="20"/>
  <c r="W11" i="20" s="1"/>
  <c r="X11" i="20" s="1"/>
  <c r="Z11" i="20" s="1"/>
  <c r="AA11" i="20" s="1"/>
  <c r="AB11" i="20" s="1"/>
  <c r="AE17" i="1"/>
  <c r="AJ26" i="1" s="1"/>
  <c r="AC17" i="1"/>
  <c r="AI33" i="19"/>
  <c r="E14" i="19"/>
  <c r="E16" i="19" s="1"/>
  <c r="V9" i="19"/>
  <c r="W9" i="19" s="1"/>
  <c r="X9" i="19" s="1"/>
  <c r="Z9" i="19" s="1"/>
  <c r="AA9" i="19" s="1"/>
  <c r="AB9" i="19" s="1"/>
  <c r="V12" i="19"/>
  <c r="W12" i="19" s="1"/>
  <c r="X12" i="19" s="1"/>
  <c r="Z12" i="19" s="1"/>
  <c r="AA12" i="19" s="1"/>
  <c r="AB12" i="19" s="1"/>
  <c r="AI36" i="19"/>
  <c r="AI33" i="20"/>
  <c r="E14" i="20"/>
  <c r="E16" i="20" s="1"/>
  <c r="V9" i="20"/>
  <c r="W9" i="20" s="1"/>
  <c r="X9" i="20" s="1"/>
  <c r="Z9" i="20" s="1"/>
  <c r="AA9" i="20" s="1"/>
  <c r="AB9" i="20" s="1"/>
  <c r="AI33" i="18"/>
  <c r="E14" i="18"/>
  <c r="E16" i="18" s="1"/>
  <c r="V9" i="18"/>
  <c r="W9" i="18" s="1"/>
  <c r="X9" i="18" s="1"/>
  <c r="Z9" i="18" s="1"/>
  <c r="AA9" i="18" s="1"/>
  <c r="AB9" i="18" s="1"/>
  <c r="AE15" i="1"/>
  <c r="AJ24" i="1" s="1"/>
  <c r="AC15" i="1"/>
  <c r="AI36" i="20"/>
  <c r="V12" i="20"/>
  <c r="W12" i="20" s="1"/>
  <c r="X12" i="20" s="1"/>
  <c r="Z12" i="20" s="1"/>
  <c r="AA12" i="20" s="1"/>
  <c r="AB12" i="20" s="1"/>
  <c r="AE12" i="19" l="1"/>
  <c r="AI27" i="19" s="1"/>
  <c r="AC12" i="19"/>
  <c r="AE12" i="18"/>
  <c r="AI27" i="18" s="1"/>
  <c r="AC12" i="18"/>
  <c r="AE9" i="19"/>
  <c r="AI24" i="19" s="1"/>
  <c r="AC9" i="19"/>
  <c r="AD18" i="1"/>
  <c r="AJ21" i="1" s="1"/>
  <c r="AJ45" i="1"/>
  <c r="U24" i="1"/>
  <c r="AJ43" i="1"/>
  <c r="U22" i="1"/>
  <c r="AD16" i="1"/>
  <c r="AJ19" i="1" s="1"/>
  <c r="AE9" i="20"/>
  <c r="AI24" i="20" s="1"/>
  <c r="AC9" i="20"/>
  <c r="AD17" i="1"/>
  <c r="AJ20" i="1" s="1"/>
  <c r="AJ44" i="1"/>
  <c r="U23" i="1"/>
  <c r="AE10" i="20"/>
  <c r="AI25" i="20" s="1"/>
  <c r="AC10" i="20"/>
  <c r="AE10" i="19"/>
  <c r="AI25" i="19" s="1"/>
  <c r="AC10" i="19"/>
  <c r="AE10" i="18"/>
  <c r="AI25" i="18" s="1"/>
  <c r="AC10" i="18"/>
  <c r="AE9" i="18"/>
  <c r="AI24" i="18" s="1"/>
  <c r="AC9" i="18"/>
  <c r="AE12" i="20"/>
  <c r="AI27" i="20" s="1"/>
  <c r="AC12" i="20"/>
  <c r="AE11" i="20"/>
  <c r="AI26" i="20" s="1"/>
  <c r="AC11" i="20"/>
  <c r="AE11" i="19"/>
  <c r="AI26" i="19" s="1"/>
  <c r="AC11" i="19"/>
  <c r="AE11" i="18"/>
  <c r="AI26" i="18" s="1"/>
  <c r="AC11" i="18"/>
  <c r="AJ42" i="1"/>
  <c r="AD15" i="1"/>
  <c r="AJ18" i="1" s="1"/>
  <c r="U21" i="1"/>
  <c r="AJ23" i="1" l="1"/>
  <c r="AJ41" i="1"/>
  <c r="AJ32" i="1"/>
  <c r="AI42" i="20"/>
  <c r="U15" i="20"/>
  <c r="AD9" i="20"/>
  <c r="AI18" i="20" s="1"/>
  <c r="AD11" i="19"/>
  <c r="AI20" i="19" s="1"/>
  <c r="AI44" i="19"/>
  <c r="U17" i="19"/>
  <c r="AD9" i="19"/>
  <c r="AI18" i="19" s="1"/>
  <c r="AI42" i="19"/>
  <c r="U15" i="19"/>
  <c r="AI45" i="20"/>
  <c r="AD12" i="20"/>
  <c r="AI21" i="20" s="1"/>
  <c r="U18" i="20"/>
  <c r="AI43" i="20"/>
  <c r="U16" i="20"/>
  <c r="AD10" i="20"/>
  <c r="AI19" i="20" s="1"/>
  <c r="AI45" i="18"/>
  <c r="AD12" i="18"/>
  <c r="AI21" i="18" s="1"/>
  <c r="U18" i="18"/>
  <c r="AK33" i="1"/>
  <c r="V21" i="1"/>
  <c r="W21" i="1" s="1"/>
  <c r="X21" i="1" s="1"/>
  <c r="Z21" i="1" s="1"/>
  <c r="AA21" i="1" s="1"/>
  <c r="AB21" i="1" s="1"/>
  <c r="V23" i="1"/>
  <c r="W23" i="1" s="1"/>
  <c r="X23" i="1" s="1"/>
  <c r="Z23" i="1" s="1"/>
  <c r="AA23" i="1" s="1"/>
  <c r="AB23" i="1" s="1"/>
  <c r="AK35" i="1"/>
  <c r="AI43" i="19"/>
  <c r="AD10" i="19"/>
  <c r="AI19" i="19" s="1"/>
  <c r="U16" i="19"/>
  <c r="AI44" i="20"/>
  <c r="AD11" i="20"/>
  <c r="AI20" i="20" s="1"/>
  <c r="U17" i="20"/>
  <c r="AK36" i="1"/>
  <c r="V24" i="1"/>
  <c r="W24" i="1" s="1"/>
  <c r="X24" i="1" s="1"/>
  <c r="Z24" i="1" s="1"/>
  <c r="AA24" i="1" s="1"/>
  <c r="AB24" i="1" s="1"/>
  <c r="AI45" i="19"/>
  <c r="AD12" i="19"/>
  <c r="AI21" i="19" s="1"/>
  <c r="U18" i="19"/>
  <c r="U17" i="18"/>
  <c r="AD11" i="18"/>
  <c r="AI20" i="18" s="1"/>
  <c r="AI44" i="18"/>
  <c r="AK34" i="1"/>
  <c r="V22" i="1"/>
  <c r="W22" i="1" s="1"/>
  <c r="X22" i="1" s="1"/>
  <c r="Z22" i="1" s="1"/>
  <c r="AA22" i="1" s="1"/>
  <c r="AB22" i="1" s="1"/>
  <c r="AD9" i="18"/>
  <c r="AI18" i="18" s="1"/>
  <c r="AI42" i="18"/>
  <c r="U15" i="18"/>
  <c r="AI43" i="18"/>
  <c r="U16" i="18"/>
  <c r="AD10" i="18"/>
  <c r="AI19" i="18" s="1"/>
  <c r="AI23" i="19" l="1"/>
  <c r="AI41" i="19"/>
  <c r="AI32" i="19"/>
  <c r="AI23" i="18"/>
  <c r="AI41" i="18"/>
  <c r="AI32" i="18"/>
  <c r="AI41" i="20"/>
  <c r="AI23" i="20"/>
  <c r="AI32" i="20"/>
  <c r="AE21" i="1"/>
  <c r="AK24" i="1" s="1"/>
  <c r="AC21" i="1"/>
  <c r="AJ33" i="18"/>
  <c r="V15" i="18"/>
  <c r="W15" i="18" s="1"/>
  <c r="X15" i="18" s="1"/>
  <c r="Z15" i="18" s="1"/>
  <c r="AA15" i="18" s="1"/>
  <c r="AB15" i="18" s="1"/>
  <c r="AJ35" i="18"/>
  <c r="V17" i="18"/>
  <c r="W17" i="18" s="1"/>
  <c r="X17" i="18" s="1"/>
  <c r="Z17" i="18" s="1"/>
  <c r="AA17" i="18" s="1"/>
  <c r="AB17" i="18" s="1"/>
  <c r="AJ36" i="19"/>
  <c r="V18" i="19"/>
  <c r="W18" i="19" s="1"/>
  <c r="X18" i="19" s="1"/>
  <c r="Z18" i="19" s="1"/>
  <c r="AA18" i="19" s="1"/>
  <c r="AB18" i="19" s="1"/>
  <c r="AJ34" i="19"/>
  <c r="V16" i="19"/>
  <c r="W16" i="19" s="1"/>
  <c r="X16" i="19" s="1"/>
  <c r="Z16" i="19" s="1"/>
  <c r="AA16" i="19" s="1"/>
  <c r="AB16" i="19" s="1"/>
  <c r="AJ33" i="19"/>
  <c r="V15" i="19"/>
  <c r="W15" i="19" s="1"/>
  <c r="X15" i="19" s="1"/>
  <c r="Z15" i="19" s="1"/>
  <c r="AA15" i="19" s="1"/>
  <c r="AB15" i="19" s="1"/>
  <c r="AE22" i="1"/>
  <c r="AK25" i="1" s="1"/>
  <c r="AC22" i="1"/>
  <c r="AE24" i="1"/>
  <c r="AK27" i="1" s="1"/>
  <c r="AC24" i="1"/>
  <c r="AJ34" i="20"/>
  <c r="V16" i="20"/>
  <c r="W16" i="20" s="1"/>
  <c r="X16" i="20" s="1"/>
  <c r="Z16" i="20" s="1"/>
  <c r="AA16" i="20" s="1"/>
  <c r="AB16" i="20" s="1"/>
  <c r="AJ35" i="19"/>
  <c r="V17" i="19"/>
  <c r="W17" i="19" s="1"/>
  <c r="X17" i="19" s="1"/>
  <c r="Z17" i="19" s="1"/>
  <c r="AA17" i="19" s="1"/>
  <c r="AB17" i="19" s="1"/>
  <c r="AJ33" i="20"/>
  <c r="V15" i="20"/>
  <c r="W15" i="20" s="1"/>
  <c r="X15" i="20" s="1"/>
  <c r="Z15" i="20" s="1"/>
  <c r="AA15" i="20" s="1"/>
  <c r="AB15" i="20" s="1"/>
  <c r="AJ35" i="20"/>
  <c r="V17" i="20"/>
  <c r="W17" i="20" s="1"/>
  <c r="X17" i="20" s="1"/>
  <c r="Z17" i="20" s="1"/>
  <c r="AA17" i="20" s="1"/>
  <c r="AB17" i="20" s="1"/>
  <c r="AJ36" i="20"/>
  <c r="V18" i="20"/>
  <c r="W18" i="20" s="1"/>
  <c r="X18" i="20" s="1"/>
  <c r="Z18" i="20" s="1"/>
  <c r="AA18" i="20" s="1"/>
  <c r="AB18" i="20" s="1"/>
  <c r="AJ36" i="18"/>
  <c r="V18" i="18"/>
  <c r="W18" i="18" s="1"/>
  <c r="X18" i="18" s="1"/>
  <c r="Z18" i="18" s="1"/>
  <c r="AA18" i="18" s="1"/>
  <c r="AB18" i="18" s="1"/>
  <c r="AJ34" i="18"/>
  <c r="V16" i="18"/>
  <c r="W16" i="18" s="1"/>
  <c r="X16" i="18" s="1"/>
  <c r="Z16" i="18" s="1"/>
  <c r="AA16" i="18" s="1"/>
  <c r="AB16" i="18" s="1"/>
  <c r="AE23" i="1"/>
  <c r="AK26" i="1" s="1"/>
  <c r="AC23" i="1"/>
  <c r="AE16" i="20" l="1"/>
  <c r="AJ25" i="20" s="1"/>
  <c r="AC16" i="20"/>
  <c r="AE16" i="18"/>
  <c r="AJ25" i="18" s="1"/>
  <c r="AC16" i="18"/>
  <c r="AE17" i="20"/>
  <c r="AJ26" i="20" s="1"/>
  <c r="AC17" i="20"/>
  <c r="AK45" i="1"/>
  <c r="AD24" i="1"/>
  <c r="AK21" i="1" s="1"/>
  <c r="U30" i="1"/>
  <c r="AE15" i="20"/>
  <c r="AJ24" i="20" s="1"/>
  <c r="AC15" i="20"/>
  <c r="AD22" i="1"/>
  <c r="AK19" i="1" s="1"/>
  <c r="U28" i="1"/>
  <c r="AK43" i="1"/>
  <c r="AE15" i="18"/>
  <c r="AJ24" i="18" s="1"/>
  <c r="AC15" i="18"/>
  <c r="AE18" i="18"/>
  <c r="AJ27" i="18" s="1"/>
  <c r="AC18" i="18"/>
  <c r="AE17" i="19"/>
  <c r="AJ26" i="19" s="1"/>
  <c r="AC17" i="19"/>
  <c r="AK42" i="1"/>
  <c r="AD21" i="1"/>
  <c r="AK18" i="1" s="1"/>
  <c r="U27" i="1"/>
  <c r="AE18" i="20"/>
  <c r="AJ27" i="20" s="1"/>
  <c r="AC18" i="20"/>
  <c r="AE15" i="19"/>
  <c r="AJ24" i="19" s="1"/>
  <c r="AC15" i="19"/>
  <c r="AE16" i="19"/>
  <c r="AJ25" i="19" s="1"/>
  <c r="AC16" i="19"/>
  <c r="AE18" i="19"/>
  <c r="AJ27" i="19" s="1"/>
  <c r="AC18" i="19"/>
  <c r="AD23" i="1"/>
  <c r="AK20" i="1" s="1"/>
  <c r="U29" i="1"/>
  <c r="AK44" i="1"/>
  <c r="AE17" i="18"/>
  <c r="AJ26" i="18" s="1"/>
  <c r="AC17" i="18"/>
  <c r="AK23" i="1" l="1"/>
  <c r="AK32" i="1"/>
  <c r="AK41" i="1"/>
  <c r="AJ44" i="18"/>
  <c r="U23" i="18"/>
  <c r="AD17" i="18"/>
  <c r="AJ20" i="18" s="1"/>
  <c r="U21" i="18"/>
  <c r="AD15" i="18"/>
  <c r="AJ18" i="18" s="1"/>
  <c r="AJ42" i="18"/>
  <c r="AL33" i="1"/>
  <c r="V27" i="1"/>
  <c r="W27" i="1" s="1"/>
  <c r="X27" i="1" s="1"/>
  <c r="Z27" i="1" s="1"/>
  <c r="AA27" i="1" s="1"/>
  <c r="AB27" i="1" s="1"/>
  <c r="AJ43" i="19"/>
  <c r="AD16" i="19"/>
  <c r="AJ19" i="19" s="1"/>
  <c r="U22" i="19"/>
  <c r="AL36" i="1"/>
  <c r="V30" i="1"/>
  <c r="W30" i="1" s="1"/>
  <c r="X30" i="1" s="1"/>
  <c r="Z30" i="1" s="1"/>
  <c r="AA30" i="1" s="1"/>
  <c r="AB30" i="1" s="1"/>
  <c r="AJ44" i="19"/>
  <c r="U23" i="19"/>
  <c r="AD17" i="19"/>
  <c r="AJ20" i="19" s="1"/>
  <c r="AD15" i="19"/>
  <c r="AJ18" i="19" s="1"/>
  <c r="AJ42" i="19"/>
  <c r="U21" i="19"/>
  <c r="AD15" i="20"/>
  <c r="AJ18" i="20" s="1"/>
  <c r="AJ42" i="20"/>
  <c r="U21" i="20"/>
  <c r="U22" i="20"/>
  <c r="AD16" i="20"/>
  <c r="AJ19" i="20" s="1"/>
  <c r="AJ43" i="20"/>
  <c r="AJ43" i="18"/>
  <c r="U22" i="18"/>
  <c r="AD16" i="18"/>
  <c r="AJ19" i="18" s="1"/>
  <c r="AL34" i="1"/>
  <c r="V28" i="1"/>
  <c r="W28" i="1" s="1"/>
  <c r="X28" i="1" s="1"/>
  <c r="Z28" i="1" s="1"/>
  <c r="AA28" i="1" s="1"/>
  <c r="AB28" i="1" s="1"/>
  <c r="AL35" i="1"/>
  <c r="V29" i="1"/>
  <c r="W29" i="1" s="1"/>
  <c r="X29" i="1" s="1"/>
  <c r="Z29" i="1" s="1"/>
  <c r="AA29" i="1" s="1"/>
  <c r="AB29" i="1" s="1"/>
  <c r="AJ45" i="18"/>
  <c r="AD18" i="18"/>
  <c r="AJ21" i="18" s="1"/>
  <c r="U24" i="18"/>
  <c r="AJ44" i="20"/>
  <c r="AD17" i="20"/>
  <c r="AJ20" i="20" s="1"/>
  <c r="U23" i="20"/>
  <c r="AJ45" i="19"/>
  <c r="AD18" i="19"/>
  <c r="AJ21" i="19" s="1"/>
  <c r="U24" i="19"/>
  <c r="AJ45" i="20"/>
  <c r="AD18" i="20"/>
  <c r="AJ21" i="20" s="1"/>
  <c r="U24" i="20"/>
  <c r="AJ23" i="18" l="1"/>
  <c r="AJ41" i="18"/>
  <c r="AJ32" i="18"/>
  <c r="AJ23" i="20"/>
  <c r="AJ41" i="20"/>
  <c r="AJ32" i="20"/>
  <c r="AJ23" i="19"/>
  <c r="AJ32" i="19"/>
  <c r="AJ41" i="19"/>
  <c r="AE28" i="1"/>
  <c r="AL25" i="1" s="1"/>
  <c r="AC28" i="1"/>
  <c r="AK34" i="19"/>
  <c r="V22" i="19"/>
  <c r="W22" i="19" s="1"/>
  <c r="X22" i="19" s="1"/>
  <c r="Z22" i="19" s="1"/>
  <c r="AA22" i="19" s="1"/>
  <c r="AB22" i="19" s="1"/>
  <c r="AK36" i="18"/>
  <c r="V24" i="18"/>
  <c r="W24" i="18" s="1"/>
  <c r="X24" i="18" s="1"/>
  <c r="Z24" i="18" s="1"/>
  <c r="AA24" i="18" s="1"/>
  <c r="AB24" i="18" s="1"/>
  <c r="AK33" i="19"/>
  <c r="V21" i="19"/>
  <c r="W21" i="19" s="1"/>
  <c r="X21" i="19" s="1"/>
  <c r="Z21" i="19" s="1"/>
  <c r="AA21" i="19" s="1"/>
  <c r="AB21" i="19" s="1"/>
  <c r="AK33" i="18"/>
  <c r="V21" i="18"/>
  <c r="W21" i="18" s="1"/>
  <c r="X21" i="18" s="1"/>
  <c r="Z21" i="18" s="1"/>
  <c r="AA21" i="18" s="1"/>
  <c r="AB21" i="18" s="1"/>
  <c r="AK35" i="19"/>
  <c r="V23" i="19"/>
  <c r="W23" i="19" s="1"/>
  <c r="X23" i="19" s="1"/>
  <c r="Z23" i="19" s="1"/>
  <c r="AA23" i="19" s="1"/>
  <c r="AB23" i="19" s="1"/>
  <c r="AK34" i="20"/>
  <c r="V22" i="20"/>
  <c r="W22" i="20" s="1"/>
  <c r="X22" i="20" s="1"/>
  <c r="Z22" i="20" s="1"/>
  <c r="AA22" i="20" s="1"/>
  <c r="AB22" i="20" s="1"/>
  <c r="AK33" i="20"/>
  <c r="V21" i="20"/>
  <c r="W21" i="20" s="1"/>
  <c r="X21" i="20" s="1"/>
  <c r="Z21" i="20" s="1"/>
  <c r="AA21" i="20" s="1"/>
  <c r="AB21" i="20" s="1"/>
  <c r="AK36" i="19"/>
  <c r="V24" i="19"/>
  <c r="W24" i="19" s="1"/>
  <c r="X24" i="19" s="1"/>
  <c r="Z24" i="19" s="1"/>
  <c r="AA24" i="19" s="1"/>
  <c r="AB24" i="19" s="1"/>
  <c r="AK35" i="18"/>
  <c r="V23" i="18"/>
  <c r="W23" i="18" s="1"/>
  <c r="X23" i="18" s="1"/>
  <c r="Z23" i="18" s="1"/>
  <c r="AA23" i="18" s="1"/>
  <c r="AB23" i="18" s="1"/>
  <c r="AK35" i="20"/>
  <c r="V23" i="20"/>
  <c r="W23" i="20" s="1"/>
  <c r="X23" i="20" s="1"/>
  <c r="Z23" i="20" s="1"/>
  <c r="AA23" i="20" s="1"/>
  <c r="AB23" i="20" s="1"/>
  <c r="AE27" i="1"/>
  <c r="AL24" i="1" s="1"/>
  <c r="AC27" i="1"/>
  <c r="AK36" i="20"/>
  <c r="V24" i="20"/>
  <c r="W24" i="20" s="1"/>
  <c r="X24" i="20" s="1"/>
  <c r="Z24" i="20" s="1"/>
  <c r="AA24" i="20" s="1"/>
  <c r="AB24" i="20" s="1"/>
  <c r="AK34" i="18"/>
  <c r="V22" i="18"/>
  <c r="W22" i="18" s="1"/>
  <c r="X22" i="18" s="1"/>
  <c r="Z22" i="18" s="1"/>
  <c r="AA22" i="18" s="1"/>
  <c r="AB22" i="18" s="1"/>
  <c r="AE29" i="1"/>
  <c r="AL26" i="1" s="1"/>
  <c r="AC29" i="1"/>
  <c r="AE30" i="1"/>
  <c r="AL27" i="1" s="1"/>
  <c r="AC30" i="1"/>
  <c r="AE22" i="20" l="1"/>
  <c r="AK25" i="20" s="1"/>
  <c r="AC22" i="20"/>
  <c r="AE24" i="20"/>
  <c r="AK27" i="20" s="1"/>
  <c r="AC24" i="20"/>
  <c r="AE23" i="20"/>
  <c r="AK26" i="20" s="1"/>
  <c r="AC23" i="20"/>
  <c r="AE24" i="19"/>
  <c r="AK27" i="19" s="1"/>
  <c r="AC24" i="19"/>
  <c r="AE23" i="19"/>
  <c r="AK26" i="19" s="1"/>
  <c r="AC23" i="19"/>
  <c r="AE22" i="19"/>
  <c r="AK25" i="19" s="1"/>
  <c r="AC22" i="19"/>
  <c r="AL45" i="1"/>
  <c r="AD30" i="1"/>
  <c r="AL21" i="1" s="1"/>
  <c r="U36" i="1"/>
  <c r="AD29" i="1"/>
  <c r="AL20" i="1" s="1"/>
  <c r="AL44" i="1"/>
  <c r="U35" i="1"/>
  <c r="AE23" i="18"/>
  <c r="AK26" i="18" s="1"/>
  <c r="AC23" i="18"/>
  <c r="AE21" i="18"/>
  <c r="AK24" i="18" s="1"/>
  <c r="AC21" i="18"/>
  <c r="AL43" i="1"/>
  <c r="U34" i="1"/>
  <c r="AD28" i="1"/>
  <c r="AL19" i="1" s="1"/>
  <c r="AE24" i="18"/>
  <c r="AK27" i="18" s="1"/>
  <c r="AC24" i="18"/>
  <c r="AE22" i="18"/>
  <c r="AK25" i="18" s="1"/>
  <c r="AC22" i="18"/>
  <c r="AL42" i="1"/>
  <c r="AD27" i="1"/>
  <c r="AL18" i="1" s="1"/>
  <c r="U33" i="1"/>
  <c r="AE21" i="20"/>
  <c r="AK24" i="20" s="1"/>
  <c r="AC21" i="20"/>
  <c r="AE21" i="19"/>
  <c r="AK24" i="19" s="1"/>
  <c r="AC21" i="19"/>
  <c r="AL23" i="1" l="1"/>
  <c r="AL32" i="1"/>
  <c r="AL41" i="1"/>
  <c r="AK42" i="18"/>
  <c r="AD21" i="18"/>
  <c r="AK18" i="18" s="1"/>
  <c r="U27" i="18"/>
  <c r="AK43" i="18"/>
  <c r="AD22" i="18"/>
  <c r="AK19" i="18" s="1"/>
  <c r="U28" i="18"/>
  <c r="AK44" i="20"/>
  <c r="AD23" i="20"/>
  <c r="AK20" i="20" s="1"/>
  <c r="U29" i="20"/>
  <c r="AK45" i="20"/>
  <c r="U30" i="20"/>
  <c r="AD24" i="20"/>
  <c r="AK21" i="20" s="1"/>
  <c r="AK45" i="19"/>
  <c r="AD24" i="19"/>
  <c r="AK21" i="19" s="1"/>
  <c r="U30" i="19"/>
  <c r="AM36" i="1"/>
  <c r="V36" i="1"/>
  <c r="W36" i="1" s="1"/>
  <c r="X36" i="1" s="1"/>
  <c r="Z36" i="1" s="1"/>
  <c r="AA36" i="1" s="1"/>
  <c r="AB36" i="1" s="1"/>
  <c r="AK42" i="19"/>
  <c r="U27" i="19"/>
  <c r="AD21" i="19"/>
  <c r="AK18" i="19" s="1"/>
  <c r="AK44" i="18"/>
  <c r="AD23" i="18"/>
  <c r="AK20" i="18" s="1"/>
  <c r="U29" i="18"/>
  <c r="U30" i="18"/>
  <c r="AD24" i="18"/>
  <c r="AK21" i="18" s="1"/>
  <c r="AK45" i="18"/>
  <c r="AK43" i="19"/>
  <c r="AD22" i="19"/>
  <c r="AK19" i="19" s="1"/>
  <c r="U28" i="19"/>
  <c r="AK42" i="20"/>
  <c r="AD21" i="20"/>
  <c r="AK18" i="20" s="1"/>
  <c r="U27" i="20"/>
  <c r="AM35" i="1"/>
  <c r="V35" i="1"/>
  <c r="W35" i="1" s="1"/>
  <c r="X35" i="1" s="1"/>
  <c r="Z35" i="1" s="1"/>
  <c r="AA35" i="1" s="1"/>
  <c r="AB35" i="1" s="1"/>
  <c r="AK44" i="19"/>
  <c r="U29" i="19"/>
  <c r="AD23" i="19"/>
  <c r="AK20" i="19" s="1"/>
  <c r="AK43" i="20"/>
  <c r="AD22" i="20"/>
  <c r="AK19" i="20" s="1"/>
  <c r="U28" i="20"/>
  <c r="AM33" i="1"/>
  <c r="V33" i="1"/>
  <c r="W33" i="1" s="1"/>
  <c r="X33" i="1" s="1"/>
  <c r="Z33" i="1" s="1"/>
  <c r="AA33" i="1" s="1"/>
  <c r="AB33" i="1" s="1"/>
  <c r="AM34" i="1"/>
  <c r="V34" i="1"/>
  <c r="W34" i="1" s="1"/>
  <c r="X34" i="1" s="1"/>
  <c r="Z34" i="1" s="1"/>
  <c r="AA34" i="1" s="1"/>
  <c r="AB34" i="1" s="1"/>
  <c r="AK32" i="20" l="1"/>
  <c r="AK23" i="20"/>
  <c r="AK41" i="20"/>
  <c r="AK32" i="18"/>
  <c r="AK23" i="18"/>
  <c r="AK41" i="18"/>
  <c r="AK41" i="19"/>
  <c r="AK32" i="19"/>
  <c r="AK23" i="19"/>
  <c r="AL34" i="20"/>
  <c r="V28" i="20"/>
  <c r="W28" i="20" s="1"/>
  <c r="X28" i="20" s="1"/>
  <c r="Z28" i="20" s="1"/>
  <c r="AA28" i="20" s="1"/>
  <c r="AB28" i="20" s="1"/>
  <c r="AL35" i="18"/>
  <c r="V29" i="18"/>
  <c r="W29" i="18" s="1"/>
  <c r="X29" i="18" s="1"/>
  <c r="Z29" i="18" s="1"/>
  <c r="AA29" i="18" s="1"/>
  <c r="AB29" i="18" s="1"/>
  <c r="AL34" i="18"/>
  <c r="V28" i="18"/>
  <c r="W28" i="18" s="1"/>
  <c r="X28" i="18" s="1"/>
  <c r="Z28" i="18" s="1"/>
  <c r="AA28" i="18" s="1"/>
  <c r="AB28" i="18" s="1"/>
  <c r="AE34" i="1"/>
  <c r="AM25" i="1" s="1"/>
  <c r="AC34" i="1"/>
  <c r="V29" i="19"/>
  <c r="W29" i="19" s="1"/>
  <c r="X29" i="19" s="1"/>
  <c r="Z29" i="19" s="1"/>
  <c r="AA29" i="19" s="1"/>
  <c r="AB29" i="19" s="1"/>
  <c r="AL35" i="19"/>
  <c r="V27" i="19"/>
  <c r="W27" i="19" s="1"/>
  <c r="X27" i="19" s="1"/>
  <c r="Z27" i="19" s="1"/>
  <c r="AA27" i="19" s="1"/>
  <c r="AB27" i="19" s="1"/>
  <c r="AL33" i="19"/>
  <c r="V27" i="18"/>
  <c r="W27" i="18" s="1"/>
  <c r="X27" i="18" s="1"/>
  <c r="Z27" i="18" s="1"/>
  <c r="AA27" i="18" s="1"/>
  <c r="AB27" i="18" s="1"/>
  <c r="AL33" i="18"/>
  <c r="AE33" i="1"/>
  <c r="AM24" i="1" s="1"/>
  <c r="AC33" i="1"/>
  <c r="V27" i="20"/>
  <c r="W27" i="20" s="1"/>
  <c r="X27" i="20" s="1"/>
  <c r="Z27" i="20" s="1"/>
  <c r="AA27" i="20" s="1"/>
  <c r="AB27" i="20" s="1"/>
  <c r="AL33" i="20"/>
  <c r="AL36" i="18"/>
  <c r="V30" i="18"/>
  <c r="W30" i="18" s="1"/>
  <c r="X30" i="18" s="1"/>
  <c r="Z30" i="18" s="1"/>
  <c r="AA30" i="18" s="1"/>
  <c r="AB30" i="18" s="1"/>
  <c r="AL36" i="19"/>
  <c r="V30" i="19"/>
  <c r="W30" i="19" s="1"/>
  <c r="X30" i="19" s="1"/>
  <c r="Z30" i="19" s="1"/>
  <c r="AA30" i="19" s="1"/>
  <c r="AB30" i="19" s="1"/>
  <c r="V28" i="19"/>
  <c r="W28" i="19" s="1"/>
  <c r="X28" i="19" s="1"/>
  <c r="Z28" i="19" s="1"/>
  <c r="AA28" i="19" s="1"/>
  <c r="AB28" i="19" s="1"/>
  <c r="AL34" i="19"/>
  <c r="AL36" i="20"/>
  <c r="V30" i="20"/>
  <c r="W30" i="20" s="1"/>
  <c r="X30" i="20" s="1"/>
  <c r="Z30" i="20" s="1"/>
  <c r="AA30" i="20" s="1"/>
  <c r="AB30" i="20" s="1"/>
  <c r="AE35" i="1"/>
  <c r="AM26" i="1" s="1"/>
  <c r="AC35" i="1"/>
  <c r="AE36" i="1"/>
  <c r="AM27" i="1" s="1"/>
  <c r="AC36" i="1"/>
  <c r="AL35" i="20"/>
  <c r="V29" i="20"/>
  <c r="W29" i="20" s="1"/>
  <c r="X29" i="20" s="1"/>
  <c r="Z29" i="20" s="1"/>
  <c r="AA29" i="20" s="1"/>
  <c r="AB29" i="20" s="1"/>
  <c r="AE28" i="19" l="1"/>
  <c r="AL25" i="19" s="1"/>
  <c r="AC28" i="19"/>
  <c r="AM45" i="1"/>
  <c r="AD36" i="1"/>
  <c r="AM21" i="1" s="1"/>
  <c r="U42" i="1"/>
  <c r="V42" i="1" s="1"/>
  <c r="W42" i="1" s="1"/>
  <c r="X42" i="1" s="1"/>
  <c r="Z42" i="1" s="1"/>
  <c r="AA42" i="1" s="1"/>
  <c r="AB42" i="1" s="1"/>
  <c r="AE28" i="18"/>
  <c r="AL25" i="18" s="1"/>
  <c r="AC28" i="18"/>
  <c r="AE30" i="18"/>
  <c r="AL27" i="18" s="1"/>
  <c r="AC30" i="18"/>
  <c r="AE27" i="19"/>
  <c r="AL24" i="19" s="1"/>
  <c r="AC27" i="19"/>
  <c r="AE28" i="20"/>
  <c r="AL25" i="20" s="1"/>
  <c r="AC28" i="20"/>
  <c r="AE29" i="20"/>
  <c r="AL26" i="20" s="1"/>
  <c r="AC29" i="20"/>
  <c r="AM42" i="1"/>
  <c r="U39" i="1"/>
  <c r="V39" i="1" s="1"/>
  <c r="W39" i="1" s="1"/>
  <c r="X39" i="1" s="1"/>
  <c r="Z39" i="1" s="1"/>
  <c r="AA39" i="1" s="1"/>
  <c r="AB39" i="1" s="1"/>
  <c r="AD33" i="1"/>
  <c r="AM18" i="1" s="1"/>
  <c r="U40" i="1"/>
  <c r="V40" i="1" s="1"/>
  <c r="W40" i="1" s="1"/>
  <c r="X40" i="1" s="1"/>
  <c r="Z40" i="1" s="1"/>
  <c r="AA40" i="1" s="1"/>
  <c r="AB40" i="1" s="1"/>
  <c r="AD34" i="1"/>
  <c r="AM19" i="1" s="1"/>
  <c r="AM43" i="1"/>
  <c r="AE30" i="19"/>
  <c r="AL27" i="19" s="1"/>
  <c r="AC30" i="19"/>
  <c r="AE27" i="18"/>
  <c r="AL24" i="18" s="1"/>
  <c r="AC27" i="18"/>
  <c r="AD35" i="1"/>
  <c r="AM20" i="1" s="1"/>
  <c r="AM44" i="1"/>
  <c r="U41" i="1"/>
  <c r="V41" i="1" s="1"/>
  <c r="W41" i="1" s="1"/>
  <c r="X41" i="1" s="1"/>
  <c r="Z41" i="1" s="1"/>
  <c r="AA41" i="1" s="1"/>
  <c r="AB41" i="1" s="1"/>
  <c r="AE29" i="18"/>
  <c r="AL26" i="18" s="1"/>
  <c r="AC29" i="18"/>
  <c r="AE30" i="20"/>
  <c r="AL27" i="20" s="1"/>
  <c r="AC30" i="20"/>
  <c r="AE27" i="20"/>
  <c r="AL24" i="20" s="1"/>
  <c r="AC27" i="20"/>
  <c r="AE29" i="19"/>
  <c r="AL26" i="19" s="1"/>
  <c r="AC29" i="19"/>
  <c r="AM41" i="1" l="1"/>
  <c r="AM23" i="1"/>
  <c r="AM32" i="1"/>
  <c r="AL45" i="20"/>
  <c r="AD30" i="20"/>
  <c r="AL21" i="20" s="1"/>
  <c r="U36" i="20"/>
  <c r="AD30" i="19"/>
  <c r="AL21" i="19" s="1"/>
  <c r="AL45" i="19"/>
  <c r="U36" i="19"/>
  <c r="AL43" i="18"/>
  <c r="AD28" i="18"/>
  <c r="AL19" i="18" s="1"/>
  <c r="U34" i="18"/>
  <c r="AD28" i="20"/>
  <c r="AL19" i="20" s="1"/>
  <c r="AL43" i="20"/>
  <c r="U34" i="20"/>
  <c r="AE42" i="1"/>
  <c r="AC42" i="1"/>
  <c r="AL44" i="19"/>
  <c r="AD29" i="19"/>
  <c r="AL20" i="19" s="1"/>
  <c r="U35" i="19"/>
  <c r="AE41" i="1"/>
  <c r="AC41" i="1"/>
  <c r="AL44" i="20"/>
  <c r="U35" i="20"/>
  <c r="AD29" i="20"/>
  <c r="AL20" i="20" s="1"/>
  <c r="AL44" i="18"/>
  <c r="U35" i="18"/>
  <c r="AD29" i="18"/>
  <c r="AL20" i="18" s="1"/>
  <c r="AE40" i="1"/>
  <c r="AC40" i="1"/>
  <c r="AL42" i="19"/>
  <c r="AD27" i="19"/>
  <c r="AL18" i="19" s="1"/>
  <c r="U33" i="19"/>
  <c r="AL42" i="20"/>
  <c r="AD27" i="20"/>
  <c r="AL18" i="20" s="1"/>
  <c r="U33" i="20"/>
  <c r="AL43" i="19"/>
  <c r="AD28" i="19"/>
  <c r="AL19" i="19" s="1"/>
  <c r="U34" i="19"/>
  <c r="AD27" i="18"/>
  <c r="AL18" i="18" s="1"/>
  <c r="U33" i="18"/>
  <c r="AL42" i="18"/>
  <c r="AE39" i="1"/>
  <c r="AC39" i="1"/>
  <c r="AL45" i="18"/>
  <c r="AD30" i="18"/>
  <c r="AL21" i="18" s="1"/>
  <c r="U36" i="18"/>
  <c r="AL41" i="20" l="1"/>
  <c r="AL32" i="20"/>
  <c r="AL23" i="20"/>
  <c r="AL41" i="19"/>
  <c r="AL32" i="19"/>
  <c r="AL23" i="19"/>
  <c r="AL32" i="18"/>
  <c r="AL23" i="18"/>
  <c r="AL41" i="18"/>
  <c r="AM33" i="18"/>
  <c r="V33" i="18"/>
  <c r="W33" i="18" s="1"/>
  <c r="X33" i="18" s="1"/>
  <c r="Z33" i="18" s="1"/>
  <c r="AA33" i="18" s="1"/>
  <c r="AB33" i="18" s="1"/>
  <c r="AM33" i="19"/>
  <c r="V33" i="19"/>
  <c r="W33" i="19" s="1"/>
  <c r="X33" i="19" s="1"/>
  <c r="Z33" i="19" s="1"/>
  <c r="AA33" i="19" s="1"/>
  <c r="AB33" i="19" s="1"/>
  <c r="AD42" i="1"/>
  <c r="U48" i="1"/>
  <c r="V48" i="1" s="1"/>
  <c r="W48" i="1" s="1"/>
  <c r="X48" i="1" s="1"/>
  <c r="Z48" i="1" s="1"/>
  <c r="AA48" i="1" s="1"/>
  <c r="AB48" i="1" s="1"/>
  <c r="AM35" i="20"/>
  <c r="V35" i="20"/>
  <c r="W35" i="20" s="1"/>
  <c r="X35" i="20" s="1"/>
  <c r="Z35" i="20" s="1"/>
  <c r="AA35" i="20" s="1"/>
  <c r="AB35" i="20" s="1"/>
  <c r="AM35" i="18"/>
  <c r="V35" i="18"/>
  <c r="W35" i="18" s="1"/>
  <c r="X35" i="18" s="1"/>
  <c r="Z35" i="18" s="1"/>
  <c r="AA35" i="18" s="1"/>
  <c r="AB35" i="18" s="1"/>
  <c r="AM36" i="19"/>
  <c r="V36" i="19"/>
  <c r="W36" i="19" s="1"/>
  <c r="X36" i="19" s="1"/>
  <c r="Z36" i="19" s="1"/>
  <c r="AA36" i="19" s="1"/>
  <c r="AB36" i="19" s="1"/>
  <c r="AM36" i="18"/>
  <c r="V36" i="18"/>
  <c r="W36" i="18" s="1"/>
  <c r="X36" i="18" s="1"/>
  <c r="Z36" i="18" s="1"/>
  <c r="AA36" i="18" s="1"/>
  <c r="AB36" i="18" s="1"/>
  <c r="AM34" i="19"/>
  <c r="V34" i="19"/>
  <c r="W34" i="19" s="1"/>
  <c r="X34" i="19" s="1"/>
  <c r="Z34" i="19" s="1"/>
  <c r="AA34" i="19" s="1"/>
  <c r="AB34" i="19" s="1"/>
  <c r="AM34" i="20"/>
  <c r="V34" i="20"/>
  <c r="W34" i="20" s="1"/>
  <c r="X34" i="20" s="1"/>
  <c r="Z34" i="20" s="1"/>
  <c r="AA34" i="20" s="1"/>
  <c r="AB34" i="20" s="1"/>
  <c r="AD40" i="1"/>
  <c r="U46" i="1"/>
  <c r="V46" i="1" s="1"/>
  <c r="W46" i="1" s="1"/>
  <c r="X46" i="1" s="1"/>
  <c r="Z46" i="1" s="1"/>
  <c r="AA46" i="1" s="1"/>
  <c r="AB46" i="1" s="1"/>
  <c r="U47" i="1"/>
  <c r="V47" i="1" s="1"/>
  <c r="W47" i="1" s="1"/>
  <c r="X47" i="1" s="1"/>
  <c r="Z47" i="1" s="1"/>
  <c r="AA47" i="1" s="1"/>
  <c r="AB47" i="1" s="1"/>
  <c r="AD41" i="1"/>
  <c r="AM36" i="20"/>
  <c r="V36" i="20"/>
  <c r="W36" i="20" s="1"/>
  <c r="X36" i="20" s="1"/>
  <c r="Z36" i="20" s="1"/>
  <c r="AA36" i="20" s="1"/>
  <c r="AB36" i="20" s="1"/>
  <c r="AD39" i="1"/>
  <c r="U45" i="1"/>
  <c r="V45" i="1" s="1"/>
  <c r="W45" i="1" s="1"/>
  <c r="X45" i="1" s="1"/>
  <c r="Z45" i="1" s="1"/>
  <c r="AA45" i="1" s="1"/>
  <c r="AB45" i="1" s="1"/>
  <c r="AM33" i="20"/>
  <c r="V33" i="20"/>
  <c r="W33" i="20" s="1"/>
  <c r="X33" i="20" s="1"/>
  <c r="Z33" i="20" s="1"/>
  <c r="AA33" i="20" s="1"/>
  <c r="AB33" i="20" s="1"/>
  <c r="V35" i="19"/>
  <c r="W35" i="19" s="1"/>
  <c r="X35" i="19" s="1"/>
  <c r="Z35" i="19" s="1"/>
  <c r="AA35" i="19" s="1"/>
  <c r="AB35" i="19" s="1"/>
  <c r="AM35" i="19"/>
  <c r="AM34" i="18"/>
  <c r="V34" i="18"/>
  <c r="W34" i="18" s="1"/>
  <c r="X34" i="18" s="1"/>
  <c r="Z34" i="18" s="1"/>
  <c r="AA34" i="18" s="1"/>
  <c r="AB34" i="18" s="1"/>
  <c r="AE34" i="18" l="1"/>
  <c r="AM25" i="18" s="1"/>
  <c r="AC34" i="18"/>
  <c r="AE36" i="20"/>
  <c r="AM27" i="20" s="1"/>
  <c r="AC36" i="20"/>
  <c r="AE34" i="19"/>
  <c r="AM25" i="19" s="1"/>
  <c r="AC34" i="19"/>
  <c r="AE35" i="20"/>
  <c r="AM26" i="20" s="1"/>
  <c r="AC35" i="20"/>
  <c r="AE36" i="18"/>
  <c r="AM27" i="18" s="1"/>
  <c r="AC36" i="18"/>
  <c r="AE48" i="1"/>
  <c r="AN45" i="1"/>
  <c r="AC48" i="1"/>
  <c r="AE35" i="19"/>
  <c r="AM26" i="19" s="1"/>
  <c r="AC35" i="19"/>
  <c r="AN44" i="1"/>
  <c r="AE47" i="1"/>
  <c r="AC47" i="1"/>
  <c r="AE33" i="20"/>
  <c r="AM24" i="20" s="1"/>
  <c r="AC33" i="20"/>
  <c r="AE46" i="1"/>
  <c r="AN43" i="1"/>
  <c r="AC46" i="1"/>
  <c r="AE36" i="19"/>
  <c r="AM27" i="19" s="1"/>
  <c r="AC36" i="19"/>
  <c r="AE33" i="19"/>
  <c r="AM24" i="19" s="1"/>
  <c r="AC33" i="19"/>
  <c r="AE45" i="1"/>
  <c r="AN42" i="1"/>
  <c r="AC45" i="1"/>
  <c r="AE34" i="20"/>
  <c r="AM25" i="20" s="1"/>
  <c r="AC34" i="20"/>
  <c r="AE35" i="18"/>
  <c r="AM26" i="18" s="1"/>
  <c r="AC35" i="18"/>
  <c r="AE33" i="18"/>
  <c r="AM24" i="18" s="1"/>
  <c r="AC33" i="18"/>
  <c r="AD34" i="20" l="1"/>
  <c r="AM19" i="20" s="1"/>
  <c r="AM43" i="20"/>
  <c r="U40" i="20"/>
  <c r="V40" i="20" s="1"/>
  <c r="W40" i="20" s="1"/>
  <c r="X40" i="20" s="1"/>
  <c r="Z40" i="20" s="1"/>
  <c r="AA40" i="20" s="1"/>
  <c r="AB40" i="20" s="1"/>
  <c r="AM44" i="20"/>
  <c r="U41" i="20"/>
  <c r="V41" i="20" s="1"/>
  <c r="W41" i="20" s="1"/>
  <c r="X41" i="20" s="1"/>
  <c r="Z41" i="20" s="1"/>
  <c r="AA41" i="20" s="1"/>
  <c r="AB41" i="20" s="1"/>
  <c r="AD35" i="20"/>
  <c r="AM20" i="20" s="1"/>
  <c r="AD35" i="19"/>
  <c r="AM20" i="19" s="1"/>
  <c r="AM44" i="19"/>
  <c r="U41" i="19"/>
  <c r="V41" i="19" s="1"/>
  <c r="W41" i="19" s="1"/>
  <c r="X41" i="19" s="1"/>
  <c r="Z41" i="19" s="1"/>
  <c r="AA41" i="19" s="1"/>
  <c r="AB41" i="19" s="1"/>
  <c r="U54" i="1"/>
  <c r="V54" i="1" s="1"/>
  <c r="W54" i="1" s="1"/>
  <c r="X54" i="1" s="1"/>
  <c r="Z54" i="1" s="1"/>
  <c r="AA54" i="1" s="1"/>
  <c r="AB54" i="1" s="1"/>
  <c r="AD48" i="1"/>
  <c r="AN27" i="1" s="1"/>
  <c r="AN21" i="1"/>
  <c r="AM42" i="18"/>
  <c r="U39" i="18"/>
  <c r="V39" i="18" s="1"/>
  <c r="W39" i="18" s="1"/>
  <c r="X39" i="18" s="1"/>
  <c r="Z39" i="18" s="1"/>
  <c r="AA39" i="18" s="1"/>
  <c r="AB39" i="18" s="1"/>
  <c r="AD33" i="18"/>
  <c r="AM18" i="18" s="1"/>
  <c r="AD33" i="20"/>
  <c r="AM18" i="20" s="1"/>
  <c r="AM42" i="20"/>
  <c r="U39" i="20"/>
  <c r="V39" i="20" s="1"/>
  <c r="W39" i="20" s="1"/>
  <c r="X39" i="20" s="1"/>
  <c r="Z39" i="20" s="1"/>
  <c r="AA39" i="20" s="1"/>
  <c r="AB39" i="20" s="1"/>
  <c r="AD36" i="20"/>
  <c r="AM21" i="20" s="1"/>
  <c r="U42" i="20"/>
  <c r="V42" i="20" s="1"/>
  <c r="W42" i="20" s="1"/>
  <c r="X42" i="20" s="1"/>
  <c r="Z42" i="20" s="1"/>
  <c r="AA42" i="20" s="1"/>
  <c r="AB42" i="20" s="1"/>
  <c r="AM45" i="20"/>
  <c r="AM42" i="19"/>
  <c r="U39" i="19"/>
  <c r="V39" i="19" s="1"/>
  <c r="W39" i="19" s="1"/>
  <c r="X39" i="19" s="1"/>
  <c r="Z39" i="19" s="1"/>
  <c r="AA39" i="19" s="1"/>
  <c r="AB39" i="19" s="1"/>
  <c r="AD33" i="19"/>
  <c r="AM18" i="19" s="1"/>
  <c r="AM45" i="18"/>
  <c r="AD36" i="18"/>
  <c r="AM21" i="18" s="1"/>
  <c r="U42" i="18"/>
  <c r="V42" i="18" s="1"/>
  <c r="W42" i="18" s="1"/>
  <c r="X42" i="18" s="1"/>
  <c r="Z42" i="18" s="1"/>
  <c r="AA42" i="18" s="1"/>
  <c r="AB42" i="18" s="1"/>
  <c r="AN19" i="1"/>
  <c r="U52" i="1"/>
  <c r="V52" i="1" s="1"/>
  <c r="W52" i="1" s="1"/>
  <c r="X52" i="1" s="1"/>
  <c r="Z52" i="1" s="1"/>
  <c r="AA52" i="1" s="1"/>
  <c r="AB52" i="1" s="1"/>
  <c r="AD46" i="1"/>
  <c r="AN25" i="1" s="1"/>
  <c r="AN18" i="1"/>
  <c r="U51" i="1"/>
  <c r="V51" i="1" s="1"/>
  <c r="W51" i="1" s="1"/>
  <c r="X51" i="1" s="1"/>
  <c r="Z51" i="1" s="1"/>
  <c r="AA51" i="1" s="1"/>
  <c r="AB51" i="1" s="1"/>
  <c r="AD45" i="1"/>
  <c r="AN24" i="1" s="1"/>
  <c r="AD34" i="19"/>
  <c r="AM19" i="19" s="1"/>
  <c r="AM43" i="19"/>
  <c r="U40" i="19"/>
  <c r="V40" i="19" s="1"/>
  <c r="W40" i="19" s="1"/>
  <c r="X40" i="19" s="1"/>
  <c r="Z40" i="19" s="1"/>
  <c r="AA40" i="19" s="1"/>
  <c r="AB40" i="19" s="1"/>
  <c r="U41" i="18"/>
  <c r="V41" i="18" s="1"/>
  <c r="W41" i="18" s="1"/>
  <c r="X41" i="18" s="1"/>
  <c r="Z41" i="18" s="1"/>
  <c r="AA41" i="18" s="1"/>
  <c r="AB41" i="18" s="1"/>
  <c r="AM44" i="18"/>
  <c r="AD35" i="18"/>
  <c r="AM20" i="18" s="1"/>
  <c r="AD47" i="1"/>
  <c r="AN26" i="1" s="1"/>
  <c r="AN20" i="1"/>
  <c r="U53" i="1"/>
  <c r="V53" i="1" s="1"/>
  <c r="W53" i="1" s="1"/>
  <c r="X53" i="1" s="1"/>
  <c r="Z53" i="1" s="1"/>
  <c r="AA53" i="1" s="1"/>
  <c r="AB53" i="1" s="1"/>
  <c r="AM43" i="18"/>
  <c r="AD34" i="18"/>
  <c r="AM19" i="18" s="1"/>
  <c r="U40" i="18"/>
  <c r="V40" i="18" s="1"/>
  <c r="W40" i="18" s="1"/>
  <c r="X40" i="18" s="1"/>
  <c r="Z40" i="18" s="1"/>
  <c r="AA40" i="18" s="1"/>
  <c r="AB40" i="18" s="1"/>
  <c r="U42" i="19"/>
  <c r="V42" i="19" s="1"/>
  <c r="W42" i="19" s="1"/>
  <c r="X42" i="19" s="1"/>
  <c r="Z42" i="19" s="1"/>
  <c r="AA42" i="19" s="1"/>
  <c r="AB42" i="19" s="1"/>
  <c r="AM45" i="19"/>
  <c r="AD36" i="19"/>
  <c r="AM21" i="19" s="1"/>
  <c r="AM23" i="20" l="1"/>
  <c r="AM41" i="20"/>
  <c r="AM32" i="20"/>
  <c r="AM32" i="19"/>
  <c r="AM41" i="19"/>
  <c r="AM23" i="19"/>
  <c r="AM32" i="18"/>
  <c r="AM23" i="18"/>
  <c r="AM41" i="18"/>
  <c r="AN41" i="1"/>
  <c r="AN23" i="1"/>
  <c r="AN32" i="1"/>
  <c r="AE39" i="19"/>
  <c r="AC39" i="19"/>
  <c r="AO43" i="1"/>
  <c r="AE52" i="1"/>
  <c r="AC52" i="1"/>
  <c r="AE40" i="19"/>
  <c r="AC40" i="19"/>
  <c r="AE40" i="20"/>
  <c r="AC40" i="20"/>
  <c r="AE39" i="20"/>
  <c r="AC39" i="20"/>
  <c r="AE51" i="1"/>
  <c r="AO42" i="1"/>
  <c r="AC51" i="1"/>
  <c r="AE42" i="19"/>
  <c r="AC42" i="19"/>
  <c r="AE39" i="18"/>
  <c r="AC39" i="18"/>
  <c r="AE40" i="18"/>
  <c r="AC40" i="18"/>
  <c r="AE41" i="18"/>
  <c r="AC41" i="18"/>
  <c r="AE41" i="20"/>
  <c r="AC41" i="20"/>
  <c r="AE42" i="20"/>
  <c r="AC42" i="20"/>
  <c r="AE42" i="18"/>
  <c r="AC42" i="18"/>
  <c r="AE53" i="1"/>
  <c r="AO44" i="1"/>
  <c r="AC53" i="1"/>
  <c r="AE54" i="1"/>
  <c r="AO45" i="1"/>
  <c r="AC54" i="1"/>
  <c r="AE41" i="19"/>
  <c r="AC41" i="19"/>
  <c r="AD41" i="20" l="1"/>
  <c r="U47" i="20"/>
  <c r="V47" i="20" s="1"/>
  <c r="W47" i="20" s="1"/>
  <c r="X47" i="20" s="1"/>
  <c r="Z47" i="20" s="1"/>
  <c r="AA47" i="20" s="1"/>
  <c r="AB47" i="20" s="1"/>
  <c r="AD42" i="19"/>
  <c r="U48" i="19"/>
  <c r="V48" i="19" s="1"/>
  <c r="W48" i="19" s="1"/>
  <c r="X48" i="19" s="1"/>
  <c r="Z48" i="19" s="1"/>
  <c r="AA48" i="19" s="1"/>
  <c r="AB48" i="19" s="1"/>
  <c r="AD53" i="1"/>
  <c r="AO26" i="1" s="1"/>
  <c r="AO20" i="1"/>
  <c r="U59" i="1"/>
  <c r="V59" i="1" s="1"/>
  <c r="W59" i="1" s="1"/>
  <c r="X59" i="1" s="1"/>
  <c r="Z59" i="1" s="1"/>
  <c r="AA59" i="1" s="1"/>
  <c r="AB59" i="1" s="1"/>
  <c r="AO18" i="1"/>
  <c r="AD51" i="1"/>
  <c r="AO24" i="1" s="1"/>
  <c r="U57" i="1"/>
  <c r="V57" i="1" s="1"/>
  <c r="W57" i="1" s="1"/>
  <c r="X57" i="1" s="1"/>
  <c r="Z57" i="1" s="1"/>
  <c r="AA57" i="1" s="1"/>
  <c r="AB57" i="1" s="1"/>
  <c r="AO19" i="1"/>
  <c r="AD52" i="1"/>
  <c r="AO25" i="1" s="1"/>
  <c r="U58" i="1"/>
  <c r="V58" i="1" s="1"/>
  <c r="W58" i="1" s="1"/>
  <c r="X58" i="1" s="1"/>
  <c r="Z58" i="1" s="1"/>
  <c r="AA58" i="1" s="1"/>
  <c r="AB58" i="1" s="1"/>
  <c r="AD41" i="19"/>
  <c r="U47" i="19"/>
  <c r="V47" i="19" s="1"/>
  <c r="W47" i="19" s="1"/>
  <c r="X47" i="19" s="1"/>
  <c r="Z47" i="19" s="1"/>
  <c r="AA47" i="19" s="1"/>
  <c r="AB47" i="19" s="1"/>
  <c r="AD40" i="18"/>
  <c r="U46" i="18"/>
  <c r="V46" i="18" s="1"/>
  <c r="W46" i="18" s="1"/>
  <c r="X46" i="18" s="1"/>
  <c r="Z46" i="18" s="1"/>
  <c r="AA46" i="18" s="1"/>
  <c r="AB46" i="18" s="1"/>
  <c r="AD39" i="20"/>
  <c r="U45" i="20"/>
  <c r="V45" i="20" s="1"/>
  <c r="W45" i="20" s="1"/>
  <c r="X45" i="20" s="1"/>
  <c r="Z45" i="20" s="1"/>
  <c r="AA45" i="20" s="1"/>
  <c r="AB45" i="20" s="1"/>
  <c r="U48" i="20"/>
  <c r="V48" i="20" s="1"/>
  <c r="W48" i="20" s="1"/>
  <c r="X48" i="20" s="1"/>
  <c r="Z48" i="20" s="1"/>
  <c r="AA48" i="20" s="1"/>
  <c r="AB48" i="20" s="1"/>
  <c r="AD42" i="20"/>
  <c r="U46" i="19"/>
  <c r="V46" i="19" s="1"/>
  <c r="W46" i="19" s="1"/>
  <c r="X46" i="19" s="1"/>
  <c r="Z46" i="19" s="1"/>
  <c r="AA46" i="19" s="1"/>
  <c r="AB46" i="19" s="1"/>
  <c r="AD40" i="19"/>
  <c r="AD41" i="18"/>
  <c r="U47" i="18"/>
  <c r="V47" i="18" s="1"/>
  <c r="W47" i="18" s="1"/>
  <c r="X47" i="18" s="1"/>
  <c r="Z47" i="18" s="1"/>
  <c r="AA47" i="18" s="1"/>
  <c r="AB47" i="18" s="1"/>
  <c r="AD42" i="18"/>
  <c r="U48" i="18"/>
  <c r="V48" i="18" s="1"/>
  <c r="W48" i="18" s="1"/>
  <c r="X48" i="18" s="1"/>
  <c r="Z48" i="18" s="1"/>
  <c r="AA48" i="18" s="1"/>
  <c r="AB48" i="18" s="1"/>
  <c r="AO21" i="1"/>
  <c r="AD54" i="1"/>
  <c r="AO27" i="1" s="1"/>
  <c r="U60" i="1"/>
  <c r="V60" i="1" s="1"/>
  <c r="W60" i="1" s="1"/>
  <c r="X60" i="1" s="1"/>
  <c r="Z60" i="1" s="1"/>
  <c r="AA60" i="1" s="1"/>
  <c r="AB60" i="1" s="1"/>
  <c r="AD39" i="18"/>
  <c r="U45" i="18"/>
  <c r="V45" i="18" s="1"/>
  <c r="W45" i="18" s="1"/>
  <c r="X45" i="18" s="1"/>
  <c r="Z45" i="18" s="1"/>
  <c r="AA45" i="18" s="1"/>
  <c r="AB45" i="18" s="1"/>
  <c r="AD39" i="19"/>
  <c r="U45" i="19"/>
  <c r="V45" i="19" s="1"/>
  <c r="W45" i="19" s="1"/>
  <c r="X45" i="19" s="1"/>
  <c r="Z45" i="19" s="1"/>
  <c r="AA45" i="19" s="1"/>
  <c r="AB45" i="19" s="1"/>
  <c r="AD40" i="20"/>
  <c r="U46" i="20"/>
  <c r="V46" i="20" s="1"/>
  <c r="W46" i="20" s="1"/>
  <c r="X46" i="20" s="1"/>
  <c r="Z46" i="20" s="1"/>
  <c r="AA46" i="20" s="1"/>
  <c r="AB46" i="20" s="1"/>
  <c r="AO32" i="1" l="1"/>
  <c r="AO41" i="1"/>
  <c r="AO23" i="1"/>
  <c r="AN42" i="18"/>
  <c r="AE45" i="18"/>
  <c r="AC45" i="18"/>
  <c r="AE46" i="19"/>
  <c r="AN43" i="19"/>
  <c r="AC46" i="19"/>
  <c r="AN43" i="20"/>
  <c r="AE46" i="20"/>
  <c r="AC46" i="20"/>
  <c r="AE45" i="20"/>
  <c r="AN42" i="20"/>
  <c r="AC45" i="20"/>
  <c r="AE47" i="20"/>
  <c r="AN44" i="20"/>
  <c r="AC47" i="20"/>
  <c r="AN44" i="19"/>
  <c r="AE47" i="19"/>
  <c r="AC47" i="19"/>
  <c r="AP44" i="1"/>
  <c r="AE59" i="1"/>
  <c r="AC59" i="1"/>
  <c r="AE60" i="1"/>
  <c r="AP45" i="1"/>
  <c r="AC60" i="1"/>
  <c r="AP43" i="1"/>
  <c r="AE58" i="1"/>
  <c r="AC58" i="1"/>
  <c r="AE48" i="20"/>
  <c r="AN45" i="20"/>
  <c r="AC48" i="20"/>
  <c r="AE48" i="19"/>
  <c r="AN45" i="19"/>
  <c r="AC48" i="19"/>
  <c r="AE48" i="18"/>
  <c r="AN45" i="18"/>
  <c r="AC48" i="18"/>
  <c r="AE45" i="19"/>
  <c r="AN42" i="19"/>
  <c r="AC45" i="19"/>
  <c r="AP42" i="1"/>
  <c r="AE57" i="1"/>
  <c r="AC57" i="1"/>
  <c r="AN44" i="18"/>
  <c r="AE47" i="18"/>
  <c r="AC47" i="18"/>
  <c r="AE46" i="18"/>
  <c r="AN43" i="18"/>
  <c r="AC46" i="18"/>
  <c r="AD46" i="18" l="1"/>
  <c r="AN25" i="18" s="1"/>
  <c r="AN19" i="18"/>
  <c r="U52" i="18"/>
  <c r="V52" i="18" s="1"/>
  <c r="W52" i="18" s="1"/>
  <c r="X52" i="18" s="1"/>
  <c r="Z52" i="18" s="1"/>
  <c r="AA52" i="18" s="1"/>
  <c r="AB52" i="18" s="1"/>
  <c r="AN19" i="19"/>
  <c r="AD46" i="19"/>
  <c r="AN25" i="19" s="1"/>
  <c r="U52" i="19"/>
  <c r="V52" i="19" s="1"/>
  <c r="W52" i="19" s="1"/>
  <c r="X52" i="19" s="1"/>
  <c r="Z52" i="19" s="1"/>
  <c r="AA52" i="19" s="1"/>
  <c r="AB52" i="19" s="1"/>
  <c r="AD59" i="1"/>
  <c r="AP26" i="1" s="1"/>
  <c r="AP20" i="1"/>
  <c r="AP18" i="1"/>
  <c r="AD57" i="1"/>
  <c r="AP24" i="1" s="1"/>
  <c r="AP21" i="1"/>
  <c r="AD60" i="1"/>
  <c r="AP27" i="1" s="1"/>
  <c r="AN18" i="19"/>
  <c r="AD45" i="19"/>
  <c r="AN24" i="19" s="1"/>
  <c r="U51" i="19"/>
  <c r="V51" i="19" s="1"/>
  <c r="W51" i="19" s="1"/>
  <c r="X51" i="19" s="1"/>
  <c r="Z51" i="19" s="1"/>
  <c r="AA51" i="19" s="1"/>
  <c r="AB51" i="19" s="1"/>
  <c r="AN20" i="20"/>
  <c r="AD47" i="20"/>
  <c r="AN26" i="20" s="1"/>
  <c r="U53" i="20"/>
  <c r="V53" i="20" s="1"/>
  <c r="W53" i="20" s="1"/>
  <c r="X53" i="20" s="1"/>
  <c r="Z53" i="20" s="1"/>
  <c r="AA53" i="20" s="1"/>
  <c r="AB53" i="20" s="1"/>
  <c r="AN21" i="20"/>
  <c r="U54" i="20"/>
  <c r="V54" i="20" s="1"/>
  <c r="W54" i="20" s="1"/>
  <c r="X54" i="20" s="1"/>
  <c r="Z54" i="20" s="1"/>
  <c r="AA54" i="20" s="1"/>
  <c r="AB54" i="20" s="1"/>
  <c r="AD48" i="20"/>
  <c r="AN27" i="20" s="1"/>
  <c r="AN20" i="18"/>
  <c r="AD47" i="18"/>
  <c r="AN26" i="18" s="1"/>
  <c r="U53" i="18"/>
  <c r="V53" i="18" s="1"/>
  <c r="W53" i="18" s="1"/>
  <c r="X53" i="18" s="1"/>
  <c r="Z53" i="18" s="1"/>
  <c r="AA53" i="18" s="1"/>
  <c r="AB53" i="18" s="1"/>
  <c r="AN21" i="18"/>
  <c r="AD48" i="18"/>
  <c r="AN27" i="18" s="1"/>
  <c r="U54" i="18"/>
  <c r="V54" i="18" s="1"/>
  <c r="W54" i="18" s="1"/>
  <c r="X54" i="18" s="1"/>
  <c r="Z54" i="18" s="1"/>
  <c r="AA54" i="18" s="1"/>
  <c r="AB54" i="18" s="1"/>
  <c r="AN18" i="20"/>
  <c r="AD45" i="20"/>
  <c r="AN24" i="20" s="1"/>
  <c r="U51" i="20"/>
  <c r="V51" i="20" s="1"/>
  <c r="W51" i="20" s="1"/>
  <c r="X51" i="20" s="1"/>
  <c r="Z51" i="20" s="1"/>
  <c r="AA51" i="20" s="1"/>
  <c r="AB51" i="20" s="1"/>
  <c r="AP19" i="1"/>
  <c r="AD58" i="1"/>
  <c r="AP25" i="1" s="1"/>
  <c r="AN18" i="18"/>
  <c r="AD45" i="18"/>
  <c r="AN24" i="18" s="1"/>
  <c r="U51" i="18"/>
  <c r="V51" i="18" s="1"/>
  <c r="W51" i="18" s="1"/>
  <c r="X51" i="18" s="1"/>
  <c r="Z51" i="18" s="1"/>
  <c r="AA51" i="18" s="1"/>
  <c r="AB51" i="18" s="1"/>
  <c r="AN20" i="19"/>
  <c r="AD47" i="19"/>
  <c r="AN26" i="19" s="1"/>
  <c r="U53" i="19"/>
  <c r="V53" i="19" s="1"/>
  <c r="W53" i="19" s="1"/>
  <c r="X53" i="19" s="1"/>
  <c r="Z53" i="19" s="1"/>
  <c r="AA53" i="19" s="1"/>
  <c r="AB53" i="19" s="1"/>
  <c r="AN21" i="19"/>
  <c r="AD48" i="19"/>
  <c r="AN27" i="19" s="1"/>
  <c r="U54" i="19"/>
  <c r="V54" i="19" s="1"/>
  <c r="W54" i="19" s="1"/>
  <c r="X54" i="19" s="1"/>
  <c r="Z54" i="19" s="1"/>
  <c r="AA54" i="19" s="1"/>
  <c r="AB54" i="19" s="1"/>
  <c r="AN19" i="20"/>
  <c r="AD46" i="20"/>
  <c r="AN25" i="20" s="1"/>
  <c r="U52" i="20"/>
  <c r="V52" i="20" s="1"/>
  <c r="W52" i="20" s="1"/>
  <c r="X52" i="20" s="1"/>
  <c r="Z52" i="20" s="1"/>
  <c r="AA52" i="20" s="1"/>
  <c r="AB52" i="20" s="1"/>
  <c r="AN41" i="18" l="1"/>
  <c r="AN32" i="18"/>
  <c r="AN23" i="18"/>
  <c r="AN32" i="20"/>
  <c r="AN41" i="20"/>
  <c r="AN23" i="20"/>
  <c r="AP41" i="1"/>
  <c r="AI48" i="1" s="1"/>
  <c r="AP23" i="1"/>
  <c r="AP32" i="1"/>
  <c r="AN23" i="19"/>
  <c r="AN32" i="19"/>
  <c r="AN41" i="19"/>
  <c r="AE53" i="18"/>
  <c r="AO44" i="18"/>
  <c r="AC53" i="18"/>
  <c r="AO42" i="19"/>
  <c r="AE51" i="19"/>
  <c r="AC51" i="19"/>
  <c r="AO42" i="20"/>
  <c r="AE51" i="20"/>
  <c r="AC51" i="20"/>
  <c r="AE52" i="19"/>
  <c r="AO43" i="19"/>
  <c r="AC52" i="19"/>
  <c r="AE52" i="20"/>
  <c r="AO43" i="20"/>
  <c r="AC52" i="20"/>
  <c r="AO42" i="18"/>
  <c r="AE51" i="18"/>
  <c r="AC51" i="18"/>
  <c r="AE54" i="18"/>
  <c r="AO45" i="18"/>
  <c r="AC54" i="18"/>
  <c r="AO44" i="20"/>
  <c r="AE53" i="20"/>
  <c r="AC53" i="20"/>
  <c r="AO44" i="19"/>
  <c r="AE53" i="19"/>
  <c r="AC53" i="19"/>
  <c r="AO45" i="20"/>
  <c r="AE54" i="20"/>
  <c r="AC54" i="20"/>
  <c r="AO43" i="18"/>
  <c r="AE52" i="18"/>
  <c r="AC52" i="18"/>
  <c r="AO45" i="19"/>
  <c r="AE54" i="19"/>
  <c r="AC54" i="19"/>
  <c r="AI39" i="1" l="1"/>
  <c r="E15" i="1"/>
  <c r="H19" i="1"/>
  <c r="H29" i="1" s="1"/>
  <c r="E10" i="1" s="1"/>
  <c r="E9" i="1" s="1"/>
  <c r="AI30" i="1"/>
  <c r="AO20" i="20"/>
  <c r="U59" i="20"/>
  <c r="V59" i="20" s="1"/>
  <c r="W59" i="20" s="1"/>
  <c r="X59" i="20" s="1"/>
  <c r="Z59" i="20" s="1"/>
  <c r="AA59" i="20" s="1"/>
  <c r="AB59" i="20" s="1"/>
  <c r="AD53" i="20"/>
  <c r="AO26" i="20" s="1"/>
  <c r="AO21" i="20"/>
  <c r="AD54" i="20"/>
  <c r="AO27" i="20" s="1"/>
  <c r="U60" i="20"/>
  <c r="V60" i="20" s="1"/>
  <c r="W60" i="20" s="1"/>
  <c r="X60" i="20" s="1"/>
  <c r="Z60" i="20" s="1"/>
  <c r="AA60" i="20" s="1"/>
  <c r="AB60" i="20" s="1"/>
  <c r="AD51" i="19"/>
  <c r="AO24" i="19" s="1"/>
  <c r="U57" i="19"/>
  <c r="V57" i="19" s="1"/>
  <c r="W57" i="19" s="1"/>
  <c r="X57" i="19" s="1"/>
  <c r="Z57" i="19" s="1"/>
  <c r="AA57" i="19" s="1"/>
  <c r="AB57" i="19" s="1"/>
  <c r="AO18" i="19"/>
  <c r="AO21" i="18"/>
  <c r="AD54" i="18"/>
  <c r="AO27" i="18" s="1"/>
  <c r="U60" i="18"/>
  <c r="V60" i="18" s="1"/>
  <c r="W60" i="18" s="1"/>
  <c r="X60" i="18" s="1"/>
  <c r="Z60" i="18" s="1"/>
  <c r="AA60" i="18" s="1"/>
  <c r="AB60" i="18" s="1"/>
  <c r="U60" i="19"/>
  <c r="V60" i="19" s="1"/>
  <c r="W60" i="19" s="1"/>
  <c r="X60" i="19" s="1"/>
  <c r="Z60" i="19" s="1"/>
  <c r="AA60" i="19" s="1"/>
  <c r="AB60" i="19" s="1"/>
  <c r="AD54" i="19"/>
  <c r="AO27" i="19" s="1"/>
  <c r="AO21" i="19"/>
  <c r="AO19" i="19"/>
  <c r="U58" i="19"/>
  <c r="V58" i="19" s="1"/>
  <c r="W58" i="19" s="1"/>
  <c r="X58" i="19" s="1"/>
  <c r="Z58" i="19" s="1"/>
  <c r="AA58" i="19" s="1"/>
  <c r="AB58" i="19" s="1"/>
  <c r="AD52" i="19"/>
  <c r="AO25" i="19" s="1"/>
  <c r="AO20" i="18"/>
  <c r="AD53" i="18"/>
  <c r="AO26" i="18" s="1"/>
  <c r="U59" i="18"/>
  <c r="V59" i="18" s="1"/>
  <c r="W59" i="18" s="1"/>
  <c r="X59" i="18" s="1"/>
  <c r="Z59" i="18" s="1"/>
  <c r="AA59" i="18" s="1"/>
  <c r="AB59" i="18" s="1"/>
  <c r="AD52" i="20"/>
  <c r="AO25" i="20" s="1"/>
  <c r="AO19" i="20"/>
  <c r="U58" i="20"/>
  <c r="V58" i="20" s="1"/>
  <c r="W58" i="20" s="1"/>
  <c r="X58" i="20" s="1"/>
  <c r="Z58" i="20" s="1"/>
  <c r="AA58" i="20" s="1"/>
  <c r="AB58" i="20" s="1"/>
  <c r="AO20" i="19"/>
  <c r="AD53" i="19"/>
  <c r="AO26" i="19" s="1"/>
  <c r="U59" i="19"/>
  <c r="V59" i="19" s="1"/>
  <c r="W59" i="19" s="1"/>
  <c r="X59" i="19" s="1"/>
  <c r="Z59" i="19" s="1"/>
  <c r="AA59" i="19" s="1"/>
  <c r="AB59" i="19" s="1"/>
  <c r="AO18" i="18"/>
  <c r="U57" i="18"/>
  <c r="V57" i="18" s="1"/>
  <c r="W57" i="18" s="1"/>
  <c r="X57" i="18" s="1"/>
  <c r="Z57" i="18" s="1"/>
  <c r="AA57" i="18" s="1"/>
  <c r="AB57" i="18" s="1"/>
  <c r="AD51" i="18"/>
  <c r="AO24" i="18" s="1"/>
  <c r="AD52" i="18"/>
  <c r="AO25" i="18" s="1"/>
  <c r="AO19" i="18"/>
  <c r="U58" i="18"/>
  <c r="V58" i="18" s="1"/>
  <c r="W58" i="18" s="1"/>
  <c r="X58" i="18" s="1"/>
  <c r="Z58" i="18" s="1"/>
  <c r="AA58" i="18" s="1"/>
  <c r="AB58" i="18" s="1"/>
  <c r="AO18" i="20"/>
  <c r="AD51" i="20"/>
  <c r="AO24" i="20" s="1"/>
  <c r="U57" i="20"/>
  <c r="V57" i="20" s="1"/>
  <c r="W57" i="20" s="1"/>
  <c r="X57" i="20" s="1"/>
  <c r="Z57" i="20" s="1"/>
  <c r="AA57" i="20" s="1"/>
  <c r="AB57" i="20" s="1"/>
  <c r="AO41" i="20" l="1"/>
  <c r="AO23" i="20"/>
  <c r="AO32" i="20"/>
  <c r="AO32" i="19"/>
  <c r="AO41" i="19"/>
  <c r="AO23" i="19"/>
  <c r="AO41" i="18"/>
  <c r="AO23" i="18"/>
  <c r="AO32" i="18"/>
  <c r="AE57" i="19"/>
  <c r="AP42" i="19"/>
  <c r="AC57" i="19"/>
  <c r="AE60" i="20"/>
  <c r="AP45" i="20"/>
  <c r="AC60" i="20"/>
  <c r="AP45" i="19"/>
  <c r="AE60" i="19"/>
  <c r="AC60" i="19"/>
  <c r="AP44" i="20"/>
  <c r="AE59" i="20"/>
  <c r="AC59" i="20"/>
  <c r="AE58" i="20"/>
  <c r="AP43" i="20"/>
  <c r="AC58" i="20"/>
  <c r="AE57" i="18"/>
  <c r="AP42" i="18"/>
  <c r="AC57" i="18"/>
  <c r="AP44" i="18"/>
  <c r="AE59" i="18"/>
  <c r="AC59" i="18"/>
  <c r="AE57" i="20"/>
  <c r="AP42" i="20"/>
  <c r="AC57" i="20"/>
  <c r="AP45" i="18"/>
  <c r="AE60" i="18"/>
  <c r="AC60" i="18"/>
  <c r="AP44" i="19"/>
  <c r="AE59" i="19"/>
  <c r="AC59" i="19"/>
  <c r="AE58" i="18"/>
  <c r="AP43" i="18"/>
  <c r="AC58" i="18"/>
  <c r="AE58" i="19"/>
  <c r="AP43" i="19"/>
  <c r="AC58" i="19"/>
  <c r="AP20" i="19" l="1"/>
  <c r="AD59" i="19"/>
  <c r="AP26" i="19" s="1"/>
  <c r="AP20" i="18"/>
  <c r="AD59" i="18"/>
  <c r="AP26" i="18" s="1"/>
  <c r="AP18" i="20"/>
  <c r="AD57" i="20"/>
  <c r="AP24" i="20" s="1"/>
  <c r="AD58" i="20"/>
  <c r="AP25" i="20" s="1"/>
  <c r="AP19" i="20"/>
  <c r="AP21" i="20"/>
  <c r="AD60" i="20"/>
  <c r="AP27" i="20" s="1"/>
  <c r="AD58" i="19"/>
  <c r="AP25" i="19" s="1"/>
  <c r="AP19" i="19"/>
  <c r="AP20" i="20"/>
  <c r="AD59" i="20"/>
  <c r="AP26" i="20" s="1"/>
  <c r="AP21" i="18"/>
  <c r="AD60" i="18"/>
  <c r="AP27" i="18" s="1"/>
  <c r="AP18" i="19"/>
  <c r="AD57" i="19"/>
  <c r="AP24" i="19" s="1"/>
  <c r="AP18" i="18"/>
  <c r="AD57" i="18"/>
  <c r="AP24" i="18" s="1"/>
  <c r="AD58" i="18"/>
  <c r="AP25" i="18" s="1"/>
  <c r="AP19" i="18"/>
  <c r="AD60" i="19"/>
  <c r="AP27" i="19" s="1"/>
  <c r="AP21" i="19"/>
  <c r="AP32" i="20" l="1"/>
  <c r="AP23" i="20"/>
  <c r="AP41" i="20"/>
  <c r="AI48" i="20" s="1"/>
  <c r="AP23" i="19"/>
  <c r="AP32" i="19"/>
  <c r="AP41" i="19"/>
  <c r="AI48" i="19" s="1"/>
  <c r="AP23" i="18"/>
  <c r="AP41" i="18"/>
  <c r="AI48" i="18" s="1"/>
  <c r="AP32" i="18"/>
  <c r="H19" i="18" l="1"/>
  <c r="H29" i="18" s="1"/>
  <c r="E10" i="18" s="1"/>
  <c r="AI30" i="18"/>
  <c r="AI30" i="19"/>
  <c r="H19" i="19"/>
  <c r="H29" i="19" s="1"/>
  <c r="E10" i="19" s="1"/>
  <c r="H19" i="20"/>
  <c r="AI30" i="20"/>
  <c r="AI39" i="19"/>
  <c r="E15" i="19"/>
  <c r="AI39" i="18"/>
  <c r="E15" i="18"/>
  <c r="AI39" i="20"/>
  <c r="E15" i="20"/>
  <c r="H2" i="15" l="1"/>
  <c r="G2" i="15" s="1"/>
  <c r="E9" i="19"/>
  <c r="H29" i="20"/>
  <c r="E10" i="20" s="1"/>
  <c r="S11" i="2"/>
  <c r="O11" i="2" s="1"/>
  <c r="E9" i="18"/>
  <c r="O21" i="2" l="1"/>
  <c r="P11" i="2"/>
  <c r="P21" i="2" s="1"/>
  <c r="E9" i="20"/>
  <c r="H2" i="16"/>
  <c r="G2" i="16" s="1"/>
  <c r="E21" i="21"/>
  <c r="F11" i="21"/>
  <c r="F21" i="21" s="1"/>
  <c r="H3" i="15"/>
  <c r="H4" i="15"/>
  <c r="F33" i="15" l="1"/>
  <c r="G33" i="15" s="1"/>
  <c r="H33" i="15" s="1"/>
  <c r="F36" i="15"/>
  <c r="G36" i="15" s="1"/>
  <c r="F35" i="14"/>
  <c r="G35" i="14" s="1"/>
  <c r="H35" i="14" s="1"/>
  <c r="F38" i="14"/>
  <c r="G38" i="14" s="1"/>
  <c r="H38" i="14" s="1"/>
  <c r="O95" i="2"/>
  <c r="O4" i="2"/>
  <c r="E95" i="21"/>
  <c r="E4" i="21"/>
  <c r="F35" i="15"/>
  <c r="G35" i="15" s="1"/>
  <c r="H35" i="15" s="1"/>
  <c r="F55" i="15"/>
  <c r="G55" i="15" s="1"/>
  <c r="F45" i="15"/>
  <c r="G45" i="15" s="1"/>
  <c r="F15" i="15"/>
  <c r="G15" i="15" s="1"/>
  <c r="H15" i="15" s="1"/>
  <c r="F65" i="15"/>
  <c r="G65" i="15" s="1"/>
  <c r="F54" i="15"/>
  <c r="G54" i="15" s="1"/>
  <c r="F34" i="15"/>
  <c r="G34" i="15" s="1"/>
  <c r="F26" i="15"/>
  <c r="G26" i="15" s="1"/>
  <c r="F47" i="15"/>
  <c r="G47" i="15" s="1"/>
  <c r="F19" i="15"/>
  <c r="G19" i="15" s="1"/>
  <c r="H19" i="15" s="1"/>
  <c r="F13" i="15"/>
  <c r="G13" i="15" s="1"/>
  <c r="F18" i="15"/>
  <c r="G18" i="15" s="1"/>
  <c r="H18" i="15" s="1"/>
  <c r="F53" i="15"/>
  <c r="G53" i="15" s="1"/>
  <c r="H53" i="15" s="1"/>
  <c r="F63" i="15"/>
  <c r="G63" i="15" s="1"/>
  <c r="H63" i="15" s="1"/>
  <c r="F59" i="15"/>
  <c r="G59" i="15" s="1"/>
  <c r="F21" i="15"/>
  <c r="G21" i="15" s="1"/>
  <c r="F11" i="15"/>
  <c r="G11" i="15" s="1"/>
  <c r="F62" i="15"/>
  <c r="G62" i="15" s="1"/>
  <c r="F41" i="15"/>
  <c r="G41" i="15" s="1"/>
  <c r="H41" i="15" s="1"/>
  <c r="F12" i="15"/>
  <c r="G12" i="15" s="1"/>
  <c r="F38" i="15"/>
  <c r="G38" i="15" s="1"/>
  <c r="H38" i="15" s="1"/>
  <c r="F57" i="15"/>
  <c r="G57" i="15" s="1"/>
  <c r="H57" i="15" s="1"/>
  <c r="F43" i="15"/>
  <c r="G43" i="15" s="1"/>
  <c r="H43" i="15" s="1"/>
  <c r="F46" i="15"/>
  <c r="G46" i="15" s="1"/>
  <c r="F56" i="15"/>
  <c r="G56" i="15" s="1"/>
  <c r="H56" i="15" s="1"/>
  <c r="F17" i="15"/>
  <c r="G17" i="15" s="1"/>
  <c r="H17" i="15" s="1"/>
  <c r="F51" i="15"/>
  <c r="G51" i="15" s="1"/>
  <c r="F39" i="15"/>
  <c r="G39" i="15" s="1"/>
  <c r="H39" i="15" s="1"/>
  <c r="F48" i="15"/>
  <c r="G48" i="15" s="1"/>
  <c r="H48" i="15" s="1"/>
  <c r="F64" i="15"/>
  <c r="G64" i="15" s="1"/>
  <c r="F23" i="15"/>
  <c r="G23" i="15" s="1"/>
  <c r="F37" i="15"/>
  <c r="G37" i="15" s="1"/>
  <c r="H37" i="15" s="1"/>
  <c r="F32" i="15"/>
  <c r="G32" i="15" s="1"/>
  <c r="F70" i="15"/>
  <c r="G70" i="15" s="1"/>
  <c r="F42" i="15"/>
  <c r="G42" i="15" s="1"/>
  <c r="F58" i="15"/>
  <c r="G58" i="15" s="1"/>
  <c r="F52" i="15"/>
  <c r="G52" i="15" s="1"/>
  <c r="H52" i="15" s="1"/>
  <c r="F28" i="15"/>
  <c r="G28" i="15" s="1"/>
  <c r="H28" i="15" s="1"/>
  <c r="F29" i="15"/>
  <c r="G29" i="15" s="1"/>
  <c r="F40" i="15"/>
  <c r="G40" i="15" s="1"/>
  <c r="F25" i="15"/>
  <c r="G25" i="15" s="1"/>
  <c r="F22" i="15"/>
  <c r="G22" i="15" s="1"/>
  <c r="F27" i="15"/>
  <c r="G27" i="15" s="1"/>
  <c r="H27" i="15" s="1"/>
  <c r="F61" i="15"/>
  <c r="G61" i="15" s="1"/>
  <c r="H61" i="15" s="1"/>
  <c r="F24" i="15"/>
  <c r="G24" i="15" s="1"/>
  <c r="H24" i="15" s="1"/>
  <c r="F69" i="15"/>
  <c r="G69" i="15" s="1"/>
  <c r="F14" i="15"/>
  <c r="G14" i="15" s="1"/>
  <c r="F16" i="15"/>
  <c r="G16" i="15" s="1"/>
  <c r="H16" i="15" s="1"/>
  <c r="F20" i="15"/>
  <c r="G20" i="15" s="1"/>
  <c r="H20" i="15" s="1"/>
  <c r="F44" i="15"/>
  <c r="G44" i="15" s="1"/>
  <c r="F60" i="15"/>
  <c r="G60" i="15" s="1"/>
  <c r="H60" i="15" s="1"/>
  <c r="H4" i="16"/>
  <c r="H3" i="16"/>
  <c r="F56" i="14"/>
  <c r="G56" i="14" s="1"/>
  <c r="F47" i="14"/>
  <c r="G47" i="14" s="1"/>
  <c r="H47" i="14" s="1"/>
  <c r="F45" i="14"/>
  <c r="G45" i="14" s="1"/>
  <c r="H45" i="14" s="1"/>
  <c r="F22" i="14"/>
  <c r="G22" i="14" s="1"/>
  <c r="H22" i="14" s="1"/>
  <c r="F34" i="14"/>
  <c r="G34" i="14" s="1"/>
  <c r="F54" i="14"/>
  <c r="G54" i="14" s="1"/>
  <c r="H54" i="14" s="1"/>
  <c r="F28" i="14"/>
  <c r="G28" i="14" s="1"/>
  <c r="F68" i="14"/>
  <c r="G68" i="14" s="1"/>
  <c r="H68" i="14" s="1"/>
  <c r="F21" i="14"/>
  <c r="G21" i="14" s="1"/>
  <c r="H21" i="14" s="1"/>
  <c r="F58" i="14"/>
  <c r="G58" i="14" s="1"/>
  <c r="H58" i="14" s="1"/>
  <c r="F11" i="14"/>
  <c r="G11" i="14" s="1"/>
  <c r="F42" i="14"/>
  <c r="G42" i="14" s="1"/>
  <c r="F49" i="14"/>
  <c r="G49" i="14" s="1"/>
  <c r="H49" i="14" s="1"/>
  <c r="F48" i="14"/>
  <c r="G48" i="14" s="1"/>
  <c r="H48" i="14" s="1"/>
  <c r="F26" i="14"/>
  <c r="G26" i="14" s="1"/>
  <c r="H26" i="14" s="1"/>
  <c r="F63" i="14"/>
  <c r="G63" i="14" s="1"/>
  <c r="H63" i="14" s="1"/>
  <c r="F18" i="14"/>
  <c r="G18" i="14" s="1"/>
  <c r="H18" i="14" s="1"/>
  <c r="F57" i="14"/>
  <c r="G57" i="14" s="1"/>
  <c r="H57" i="14" s="1"/>
  <c r="F67" i="14"/>
  <c r="G67" i="14" s="1"/>
  <c r="F46" i="14"/>
  <c r="G46" i="14" s="1"/>
  <c r="H46" i="14" s="1"/>
  <c r="F23" i="14"/>
  <c r="G23" i="14" s="1"/>
  <c r="H23" i="14" s="1"/>
  <c r="F73" i="14"/>
  <c r="G73" i="14" s="1"/>
  <c r="H73" i="14" s="1"/>
  <c r="F24" i="14"/>
  <c r="G24" i="14" s="1"/>
  <c r="H24" i="14" s="1"/>
  <c r="F55" i="14"/>
  <c r="G55" i="14" s="1"/>
  <c r="H55" i="14" s="1"/>
  <c r="F50" i="14"/>
  <c r="G50" i="14" s="1"/>
  <c r="H50" i="14" s="1"/>
  <c r="F25" i="14"/>
  <c r="G25" i="14" s="1"/>
  <c r="H25" i="14" s="1"/>
  <c r="F31" i="14"/>
  <c r="G31" i="14" s="1"/>
  <c r="F64" i="14"/>
  <c r="G64" i="14" s="1"/>
  <c r="F15" i="14"/>
  <c r="G15" i="14" s="1"/>
  <c r="H15" i="14" s="1"/>
  <c r="F53" i="14"/>
  <c r="G53" i="14" s="1"/>
  <c r="F30" i="14"/>
  <c r="G30" i="14" s="1"/>
  <c r="H30" i="14" s="1"/>
  <c r="F72" i="14"/>
  <c r="G72" i="14" s="1"/>
  <c r="F29" i="14"/>
  <c r="G29" i="14" s="1"/>
  <c r="H29" i="14" s="1"/>
  <c r="F65" i="14"/>
  <c r="G65" i="14" s="1"/>
  <c r="H65" i="14" s="1"/>
  <c r="F61" i="14"/>
  <c r="G61" i="14" s="1"/>
  <c r="H61" i="14" s="1"/>
  <c r="F16" i="14"/>
  <c r="G16" i="14" s="1"/>
  <c r="H16" i="14" s="1"/>
  <c r="F41" i="14"/>
  <c r="G41" i="14" s="1"/>
  <c r="H41" i="14" s="1"/>
  <c r="F60" i="14"/>
  <c r="G60" i="14" s="1"/>
  <c r="F37" i="14"/>
  <c r="G37" i="14" s="1"/>
  <c r="H37" i="14" s="1"/>
  <c r="F40" i="14"/>
  <c r="G40" i="14" s="1"/>
  <c r="H40" i="14" s="1"/>
  <c r="F19" i="14"/>
  <c r="G19" i="14" s="1"/>
  <c r="F17" i="14"/>
  <c r="G17" i="14" s="1"/>
  <c r="H17" i="14" s="1"/>
  <c r="F39" i="14"/>
  <c r="G39" i="14" s="1"/>
  <c r="H39" i="14" s="1"/>
  <c r="F14" i="14"/>
  <c r="G14" i="14" s="1"/>
  <c r="H14" i="14" s="1"/>
  <c r="F59" i="14"/>
  <c r="G59" i="14" s="1"/>
  <c r="H59" i="14" s="1"/>
  <c r="F44" i="14"/>
  <c r="G44" i="14" s="1"/>
  <c r="H44" i="14" s="1"/>
  <c r="F20" i="14"/>
  <c r="G20" i="14" s="1"/>
  <c r="H20" i="14" s="1"/>
  <c r="F43" i="14"/>
  <c r="G43" i="14" s="1"/>
  <c r="H43" i="14" s="1"/>
  <c r="F62" i="14"/>
  <c r="G62" i="14" s="1"/>
  <c r="H62" i="14" s="1"/>
  <c r="F12" i="14"/>
  <c r="G12" i="14" s="1"/>
  <c r="H12" i="14" s="1"/>
  <c r="F36" i="14"/>
  <c r="G36" i="14" s="1"/>
  <c r="H36" i="14" s="1"/>
  <c r="F27" i="14"/>
  <c r="G27" i="14" s="1"/>
  <c r="F66" i="14"/>
  <c r="G66" i="14" s="1"/>
  <c r="H66" i="14" s="1"/>
  <c r="F13" i="14"/>
  <c r="G13" i="14" s="1"/>
  <c r="H13" i="14" s="1"/>
  <c r="F33" i="16" l="1"/>
  <c r="G33" i="16" s="1"/>
  <c r="H33" i="16" s="1"/>
  <c r="F36" i="16"/>
  <c r="G36" i="16" s="1"/>
  <c r="O102" i="2"/>
  <c r="O104" i="2" s="1"/>
  <c r="P95" i="2"/>
  <c r="P102" i="2" s="1"/>
  <c r="G66" i="15"/>
  <c r="H53" i="14"/>
  <c r="G69" i="14"/>
  <c r="G49" i="15"/>
  <c r="H32" i="15"/>
  <c r="G51" i="14"/>
  <c r="H34" i="14"/>
  <c r="F32" i="16"/>
  <c r="G32" i="16" s="1"/>
  <c r="F25" i="16"/>
  <c r="G25" i="16" s="1"/>
  <c r="F60" i="16"/>
  <c r="G60" i="16" s="1"/>
  <c r="H60" i="16" s="1"/>
  <c r="F46" i="16"/>
  <c r="G46" i="16" s="1"/>
  <c r="H46" i="16" s="1"/>
  <c r="F65" i="16"/>
  <c r="G65" i="16" s="1"/>
  <c r="F35" i="16"/>
  <c r="G35" i="16" s="1"/>
  <c r="H35" i="16" s="1"/>
  <c r="F64" i="16"/>
  <c r="G64" i="16" s="1"/>
  <c r="F22" i="16"/>
  <c r="G22" i="16" s="1"/>
  <c r="F59" i="16"/>
  <c r="G59" i="16" s="1"/>
  <c r="F43" i="16"/>
  <c r="G43" i="16" s="1"/>
  <c r="H43" i="16" s="1"/>
  <c r="F21" i="16"/>
  <c r="G21" i="16" s="1"/>
  <c r="F16" i="16"/>
  <c r="G16" i="16" s="1"/>
  <c r="H16" i="16" s="1"/>
  <c r="F34" i="16"/>
  <c r="G34" i="16" s="1"/>
  <c r="F20" i="16"/>
  <c r="G20" i="16" s="1"/>
  <c r="F52" i="16"/>
  <c r="G52" i="16" s="1"/>
  <c r="H52" i="16" s="1"/>
  <c r="F38" i="16"/>
  <c r="G38" i="16" s="1"/>
  <c r="H38" i="16" s="1"/>
  <c r="F37" i="16"/>
  <c r="G37" i="16" s="1"/>
  <c r="F54" i="16"/>
  <c r="G54" i="16" s="1"/>
  <c r="F12" i="16"/>
  <c r="G12" i="16" s="1"/>
  <c r="H12" i="16" s="1"/>
  <c r="F70" i="16"/>
  <c r="G70" i="16" s="1"/>
  <c r="F58" i="16"/>
  <c r="G58" i="16" s="1"/>
  <c r="F28" i="16"/>
  <c r="G28" i="16" s="1"/>
  <c r="H28" i="16" s="1"/>
  <c r="F13" i="16"/>
  <c r="G13" i="16" s="1"/>
  <c r="H13" i="16" s="1"/>
  <c r="F29" i="16"/>
  <c r="G29" i="16" s="1"/>
  <c r="F41" i="16"/>
  <c r="G41" i="16" s="1"/>
  <c r="H41" i="16" s="1"/>
  <c r="F19" i="16"/>
  <c r="G19" i="16" s="1"/>
  <c r="H19" i="16" s="1"/>
  <c r="F11" i="16"/>
  <c r="G11" i="16" s="1"/>
  <c r="F69" i="16"/>
  <c r="G69" i="16" s="1"/>
  <c r="F23" i="16"/>
  <c r="G23" i="16" s="1"/>
  <c r="F42" i="16"/>
  <c r="G42" i="16" s="1"/>
  <c r="F15" i="16"/>
  <c r="G15" i="16" s="1"/>
  <c r="H15" i="16" s="1"/>
  <c r="F48" i="16"/>
  <c r="G48" i="16" s="1"/>
  <c r="H48" i="16" s="1"/>
  <c r="F18" i="16"/>
  <c r="G18" i="16" s="1"/>
  <c r="H18" i="16" s="1"/>
  <c r="F56" i="16"/>
  <c r="G56" i="16" s="1"/>
  <c r="H56" i="16" s="1"/>
  <c r="F44" i="16"/>
  <c r="G44" i="16" s="1"/>
  <c r="F24" i="16"/>
  <c r="G24" i="16" s="1"/>
  <c r="H24" i="16" s="1"/>
  <c r="F47" i="16"/>
  <c r="G47" i="16" s="1"/>
  <c r="F61" i="16"/>
  <c r="G61" i="16" s="1"/>
  <c r="H61" i="16" s="1"/>
  <c r="F39" i="16"/>
  <c r="G39" i="16" s="1"/>
  <c r="H39" i="16" s="1"/>
  <c r="F63" i="16"/>
  <c r="G63" i="16" s="1"/>
  <c r="H63" i="16" s="1"/>
  <c r="F55" i="16"/>
  <c r="G55" i="16" s="1"/>
  <c r="F45" i="16"/>
  <c r="G45" i="16" s="1"/>
  <c r="H45" i="16" s="1"/>
  <c r="F26" i="16"/>
  <c r="G26" i="16" s="1"/>
  <c r="F51" i="16"/>
  <c r="G51" i="16" s="1"/>
  <c r="F62" i="16"/>
  <c r="G62" i="16" s="1"/>
  <c r="F53" i="16"/>
  <c r="G53" i="16" s="1"/>
  <c r="H53" i="16" s="1"/>
  <c r="F17" i="16"/>
  <c r="G17" i="16" s="1"/>
  <c r="H17" i="16" s="1"/>
  <c r="F27" i="16"/>
  <c r="G27" i="16" s="1"/>
  <c r="F40" i="16"/>
  <c r="G40" i="16" s="1"/>
  <c r="F14" i="16"/>
  <c r="G14" i="16" s="1"/>
  <c r="F57" i="16"/>
  <c r="G57" i="16" s="1"/>
  <c r="H57" i="16" s="1"/>
  <c r="G71" i="15"/>
  <c r="H69" i="15"/>
  <c r="G74" i="14"/>
  <c r="H72" i="14"/>
  <c r="G30" i="15"/>
  <c r="H11" i="14"/>
  <c r="G32" i="14"/>
  <c r="E102" i="21"/>
  <c r="E104" i="21" s="1"/>
  <c r="F95" i="21"/>
  <c r="F102" i="21" s="1"/>
  <c r="P106" i="2" l="1"/>
  <c r="P104" i="2"/>
  <c r="G49" i="16"/>
  <c r="H32" i="16"/>
  <c r="G66" i="16"/>
  <c r="G30" i="16"/>
  <c r="G77" i="14"/>
  <c r="G79" i="14" s="1"/>
  <c r="H69" i="16"/>
  <c r="G71" i="16"/>
  <c r="F106" i="21"/>
  <c r="F104" i="21"/>
  <c r="G74" i="15"/>
  <c r="G76" i="15" s="1"/>
  <c r="G74" i="16" l="1"/>
  <c r="G76" i="16" s="1"/>
  <c r="Q80" i="14" l="1"/>
  <c r="Q81" i="14" s="1"/>
  <c r="G2" i="14"/>
  <c r="H2" i="14"/>
  <c r="H4" i="21"/>
  <c r="K4" i="21"/>
  <c r="H11" i="21"/>
  <c r="I11" i="21"/>
  <c r="K11" i="21"/>
  <c r="L11" i="21"/>
  <c r="H21" i="21"/>
  <c r="I21" i="21"/>
  <c r="K21" i="21"/>
  <c r="L21" i="21"/>
  <c r="H95" i="21"/>
  <c r="I95" i="21"/>
  <c r="K95" i="21"/>
  <c r="L95" i="21"/>
  <c r="H102" i="21"/>
  <c r="I102" i="21"/>
  <c r="K102" i="21"/>
  <c r="L102" i="21"/>
  <c r="H104" i="21"/>
  <c r="I104" i="21"/>
  <c r="K104" i="21"/>
  <c r="L104" i="21"/>
  <c r="I106" i="21"/>
  <c r="L106" i="21"/>
  <c r="AG6" i="73"/>
  <c r="AH6" i="73"/>
  <c r="AI6" i="73"/>
  <c r="J7" i="73"/>
  <c r="K7" i="73"/>
  <c r="L7" i="73"/>
  <c r="M7" i="73"/>
  <c r="AG7" i="73"/>
  <c r="AH7" i="73"/>
  <c r="AI7" i="73"/>
  <c r="L8" i="73"/>
  <c r="M8" i="73"/>
  <c r="AG8" i="73"/>
  <c r="AH8" i="73"/>
  <c r="AI8" i="73"/>
  <c r="K9" i="73"/>
  <c r="M9" i="73"/>
  <c r="AG9" i="73"/>
  <c r="AH9" i="73"/>
  <c r="AI9" i="73"/>
  <c r="S11" i="73"/>
  <c r="T11" i="73"/>
  <c r="U11" i="73"/>
  <c r="W11" i="73"/>
  <c r="X11" i="73"/>
  <c r="Y11" i="73"/>
  <c r="Z11" i="73"/>
  <c r="AB11" i="73"/>
  <c r="AC11" i="73"/>
  <c r="AD11" i="73"/>
  <c r="AE11" i="73"/>
  <c r="AF11" i="73"/>
  <c r="AG11" i="73"/>
  <c r="AH11" i="73"/>
  <c r="AI11" i="73"/>
  <c r="I12" i="73"/>
  <c r="J12" i="73"/>
  <c r="K12" i="73"/>
  <c r="M12" i="73"/>
  <c r="S12" i="73"/>
  <c r="T12" i="73"/>
  <c r="U12" i="73"/>
  <c r="W12" i="73"/>
  <c r="X12" i="73"/>
  <c r="Y12" i="73"/>
  <c r="Z12" i="73"/>
  <c r="AB12" i="73"/>
  <c r="AC12" i="73"/>
  <c r="AD12" i="73"/>
  <c r="AE12" i="73"/>
  <c r="AF12" i="73"/>
  <c r="AG12" i="73"/>
  <c r="AH12" i="73"/>
  <c r="AI12" i="73"/>
  <c r="S13" i="73"/>
  <c r="T13" i="73"/>
  <c r="U13" i="73"/>
  <c r="W13" i="73"/>
  <c r="X13" i="73"/>
  <c r="Y13" i="73"/>
  <c r="Z13" i="73"/>
  <c r="AB13" i="73"/>
  <c r="AC13" i="73"/>
  <c r="AD13" i="73"/>
  <c r="AE13" i="73"/>
  <c r="AF13" i="73"/>
  <c r="AG13" i="73"/>
  <c r="AH13" i="73"/>
  <c r="AI13" i="73"/>
  <c r="I14" i="73"/>
  <c r="K14" i="73"/>
  <c r="M14" i="73"/>
  <c r="S14" i="73"/>
  <c r="T14" i="73"/>
  <c r="U14" i="73"/>
  <c r="W14" i="73"/>
  <c r="X14" i="73"/>
  <c r="Y14" i="73"/>
  <c r="Z14" i="73"/>
  <c r="AB14" i="73"/>
  <c r="AC14" i="73"/>
  <c r="AD14" i="73"/>
  <c r="AE14" i="73"/>
  <c r="AF14" i="73"/>
  <c r="AG14" i="73"/>
  <c r="AH14" i="73"/>
  <c r="AI14" i="73"/>
  <c r="K16" i="73"/>
  <c r="M16" i="73"/>
  <c r="S16" i="73"/>
  <c r="T16" i="73"/>
  <c r="U16" i="73"/>
  <c r="W16" i="73"/>
  <c r="X16" i="73"/>
  <c r="Y16" i="73"/>
  <c r="Z16" i="73"/>
  <c r="AB16" i="73"/>
  <c r="AC16" i="73"/>
  <c r="AD16" i="73"/>
  <c r="AE16" i="73"/>
  <c r="AF16" i="73"/>
  <c r="AG16" i="73"/>
  <c r="AH16" i="73"/>
  <c r="AI16" i="73"/>
  <c r="S17" i="73"/>
  <c r="T17" i="73"/>
  <c r="U17" i="73"/>
  <c r="W17" i="73"/>
  <c r="X17" i="73"/>
  <c r="Y17" i="73"/>
  <c r="Z17" i="73"/>
  <c r="AB17" i="73"/>
  <c r="AC17" i="73"/>
  <c r="AD17" i="73"/>
  <c r="AE17" i="73"/>
  <c r="AF17" i="73"/>
  <c r="AG17" i="73"/>
  <c r="AH17" i="73"/>
  <c r="AI17" i="73"/>
  <c r="S18" i="73"/>
  <c r="T18" i="73"/>
  <c r="U18" i="73"/>
  <c r="W18" i="73"/>
  <c r="X18" i="73"/>
  <c r="Y18" i="73"/>
  <c r="Z18" i="73"/>
  <c r="AB18" i="73"/>
  <c r="AC18" i="73"/>
  <c r="AD18" i="73"/>
  <c r="AE18" i="73"/>
  <c r="AF18" i="73"/>
  <c r="AG18" i="73"/>
  <c r="AH18" i="73"/>
  <c r="AI18" i="73"/>
  <c r="M19" i="73"/>
  <c r="S19" i="73"/>
  <c r="T19" i="73"/>
  <c r="U19" i="73"/>
  <c r="W19" i="73"/>
  <c r="X19" i="73"/>
  <c r="Y19" i="73"/>
  <c r="Z19" i="73"/>
  <c r="AB19" i="73"/>
  <c r="AC19" i="73"/>
  <c r="AD19" i="73"/>
  <c r="AE19" i="73"/>
  <c r="AF19" i="73"/>
  <c r="AG19" i="73"/>
  <c r="AH19" i="73"/>
  <c r="AI19" i="73"/>
  <c r="J20" i="73"/>
  <c r="M20" i="73"/>
  <c r="J21" i="73"/>
  <c r="M21" i="73"/>
  <c r="S21" i="73"/>
  <c r="T21" i="73"/>
  <c r="U21" i="73"/>
  <c r="W21" i="73"/>
  <c r="X21" i="73"/>
  <c r="Y21" i="73"/>
  <c r="Z21" i="73"/>
  <c r="AB21" i="73"/>
  <c r="AC21" i="73"/>
  <c r="AD21" i="73"/>
  <c r="AE21" i="73"/>
  <c r="AF21" i="73"/>
  <c r="AG21" i="73"/>
  <c r="AH21" i="73"/>
  <c r="AI21" i="73"/>
  <c r="K22" i="73"/>
  <c r="S22" i="73"/>
  <c r="T22" i="73"/>
  <c r="U22" i="73"/>
  <c r="W22" i="73"/>
  <c r="X22" i="73"/>
  <c r="Y22" i="73"/>
  <c r="Z22" i="73"/>
  <c r="AB22" i="73"/>
  <c r="AC22" i="73"/>
  <c r="AD22" i="73"/>
  <c r="AE22" i="73"/>
  <c r="AF22" i="73"/>
  <c r="AG22" i="73"/>
  <c r="AH22" i="73"/>
  <c r="AI22" i="73"/>
  <c r="S23" i="73"/>
  <c r="T23" i="73"/>
  <c r="U23" i="73"/>
  <c r="W23" i="73"/>
  <c r="X23" i="73"/>
  <c r="Y23" i="73"/>
  <c r="Z23" i="73"/>
  <c r="AB23" i="73"/>
  <c r="AC23" i="73"/>
  <c r="AD23" i="73"/>
  <c r="AE23" i="73"/>
  <c r="AF23" i="73"/>
  <c r="AG23" i="73"/>
  <c r="AH23" i="73"/>
  <c r="AI23" i="73"/>
  <c r="S24" i="73"/>
  <c r="T24" i="73"/>
  <c r="U24" i="73"/>
  <c r="W24" i="73"/>
  <c r="X24" i="73"/>
  <c r="Y24" i="73"/>
  <c r="Z24" i="73"/>
  <c r="AB24" i="73"/>
  <c r="AC24" i="73"/>
  <c r="AD24" i="73"/>
  <c r="AE24" i="73"/>
  <c r="AF24" i="73"/>
  <c r="AG24" i="73"/>
  <c r="AH24" i="73"/>
  <c r="AI24" i="73"/>
  <c r="K26" i="73"/>
  <c r="L26" i="73"/>
  <c r="M26" i="73"/>
  <c r="S26" i="73"/>
  <c r="T26" i="73"/>
  <c r="U26" i="73"/>
  <c r="W26" i="73"/>
  <c r="X26" i="73"/>
  <c r="Y26" i="73"/>
  <c r="Z26" i="73"/>
  <c r="AB26" i="73"/>
  <c r="AC26" i="73"/>
  <c r="AD26" i="73"/>
  <c r="AE26" i="73"/>
  <c r="AF26" i="73"/>
  <c r="AG26" i="73"/>
  <c r="AH26" i="73"/>
  <c r="AI26" i="73"/>
  <c r="S27" i="73"/>
  <c r="T27" i="73"/>
  <c r="U27" i="73"/>
  <c r="W27" i="73"/>
  <c r="X27" i="73"/>
  <c r="Y27" i="73"/>
  <c r="Z27" i="73"/>
  <c r="AB27" i="73"/>
  <c r="AC27" i="73"/>
  <c r="AD27" i="73"/>
  <c r="AE27" i="73"/>
  <c r="AF27" i="73"/>
  <c r="AG27" i="73"/>
  <c r="AH27" i="73"/>
  <c r="AI27" i="73"/>
  <c r="L28" i="73"/>
  <c r="M28" i="73"/>
  <c r="S28" i="73"/>
  <c r="T28" i="73"/>
  <c r="U28" i="73"/>
  <c r="W28" i="73"/>
  <c r="X28" i="73"/>
  <c r="Y28" i="73"/>
  <c r="Z28" i="73"/>
  <c r="AB28" i="73"/>
  <c r="AC28" i="73"/>
  <c r="AD28" i="73"/>
  <c r="AE28" i="73"/>
  <c r="AF28" i="73"/>
  <c r="AG28" i="73"/>
  <c r="AH28" i="73"/>
  <c r="AI28" i="73"/>
  <c r="S29" i="73"/>
  <c r="T29" i="73"/>
  <c r="U29" i="73"/>
  <c r="W29" i="73"/>
  <c r="X29" i="73"/>
  <c r="Y29" i="73"/>
  <c r="Z29" i="73"/>
  <c r="AB29" i="73"/>
  <c r="AC29" i="73"/>
  <c r="AD29" i="73"/>
  <c r="AE29" i="73"/>
  <c r="AF29" i="73"/>
  <c r="AG29" i="73"/>
  <c r="AH29" i="73"/>
  <c r="AI29" i="73"/>
  <c r="S31" i="73"/>
  <c r="T31" i="73"/>
  <c r="U31" i="73"/>
  <c r="W31" i="73"/>
  <c r="X31" i="73"/>
  <c r="Y31" i="73"/>
  <c r="Z31" i="73"/>
  <c r="AB31" i="73"/>
  <c r="AC31" i="73"/>
  <c r="AD31" i="73"/>
  <c r="AE31" i="73"/>
  <c r="AF31" i="73"/>
  <c r="AG31" i="73"/>
  <c r="AH31" i="73"/>
  <c r="AI31" i="73"/>
  <c r="S32" i="73"/>
  <c r="T32" i="73"/>
  <c r="U32" i="73"/>
  <c r="W32" i="73"/>
  <c r="X32" i="73"/>
  <c r="Y32" i="73"/>
  <c r="Z32" i="73"/>
  <c r="AB32" i="73"/>
  <c r="AC32" i="73"/>
  <c r="AD32" i="73"/>
  <c r="AE32" i="73"/>
  <c r="AF32" i="73"/>
  <c r="AG32" i="73"/>
  <c r="AH32" i="73"/>
  <c r="AI32" i="73"/>
  <c r="J33" i="73"/>
  <c r="K33" i="73"/>
  <c r="S33" i="73"/>
  <c r="T33" i="73"/>
  <c r="U33" i="73"/>
  <c r="W33" i="73"/>
  <c r="X33" i="73"/>
  <c r="Y33" i="73"/>
  <c r="Z33" i="73"/>
  <c r="AB33" i="73"/>
  <c r="AC33" i="73"/>
  <c r="AD33" i="73"/>
  <c r="AE33" i="73"/>
  <c r="AF33" i="73"/>
  <c r="AG33" i="73"/>
  <c r="AH33" i="73"/>
  <c r="AI33" i="73"/>
  <c r="J34" i="73"/>
  <c r="K34" i="73"/>
  <c r="S34" i="73"/>
  <c r="T34" i="73"/>
  <c r="U34" i="73"/>
  <c r="W34" i="73"/>
  <c r="X34" i="73"/>
  <c r="Y34" i="73"/>
  <c r="Z34" i="73"/>
  <c r="AB34" i="73"/>
  <c r="AC34" i="73"/>
  <c r="AD34" i="73"/>
  <c r="AE34" i="73"/>
  <c r="AF34" i="73"/>
  <c r="AG34" i="73"/>
  <c r="AH34" i="73"/>
  <c r="AI34" i="73"/>
  <c r="J35" i="73"/>
  <c r="K35" i="73"/>
  <c r="J36" i="73"/>
  <c r="K36" i="73"/>
  <c r="S36" i="73"/>
  <c r="T36" i="73"/>
  <c r="U36" i="73"/>
  <c r="W36" i="73"/>
  <c r="X36" i="73"/>
  <c r="Y36" i="73"/>
  <c r="Z36" i="73"/>
  <c r="AB36" i="73"/>
  <c r="AC36" i="73"/>
  <c r="AD36" i="73"/>
  <c r="AE36" i="73"/>
  <c r="AF36" i="73"/>
  <c r="AG36" i="73"/>
  <c r="AH36" i="73"/>
  <c r="AI36" i="73"/>
  <c r="J37" i="73"/>
  <c r="K37" i="73"/>
  <c r="S37" i="73"/>
  <c r="T37" i="73"/>
  <c r="U37" i="73"/>
  <c r="W37" i="73"/>
  <c r="X37" i="73"/>
  <c r="Y37" i="73"/>
  <c r="Z37" i="73"/>
  <c r="AB37" i="73"/>
  <c r="AC37" i="73"/>
  <c r="AD37" i="73"/>
  <c r="AE37" i="73"/>
  <c r="AF37" i="73"/>
  <c r="AG37" i="73"/>
  <c r="AH37" i="73"/>
  <c r="AI37" i="73"/>
  <c r="S38" i="73"/>
  <c r="T38" i="73"/>
  <c r="U38" i="73"/>
  <c r="W38" i="73"/>
  <c r="X38" i="73"/>
  <c r="Y38" i="73"/>
  <c r="Z38" i="73"/>
  <c r="AB38" i="73"/>
  <c r="AC38" i="73"/>
  <c r="AD38" i="73"/>
  <c r="AE38" i="73"/>
  <c r="AF38" i="73"/>
  <c r="AG38" i="73"/>
  <c r="AH38" i="73"/>
  <c r="AI38" i="73"/>
  <c r="S39" i="73"/>
  <c r="T39" i="73"/>
  <c r="U39" i="73"/>
  <c r="W39" i="73"/>
  <c r="X39" i="73"/>
  <c r="Y39" i="73"/>
  <c r="Z39" i="73"/>
  <c r="AB39" i="73"/>
  <c r="AC39" i="73"/>
  <c r="AD39" i="73"/>
  <c r="AE39" i="73"/>
  <c r="AF39" i="73"/>
  <c r="AG39" i="73"/>
  <c r="AH39" i="73"/>
  <c r="AI39" i="73"/>
  <c r="K43" i="73"/>
  <c r="V43" i="73"/>
  <c r="K44" i="73"/>
  <c r="V44" i="73"/>
  <c r="K45" i="73"/>
  <c r="V45" i="73"/>
  <c r="K46" i="73"/>
  <c r="K47" i="73"/>
  <c r="R48" i="73"/>
  <c r="J49" i="73"/>
  <c r="R49" i="73"/>
  <c r="R51" i="73"/>
  <c r="Y63" i="73"/>
  <c r="Z63" i="73"/>
  <c r="Y64" i="73"/>
  <c r="Z64" i="73"/>
  <c r="Y65" i="73"/>
  <c r="Z65" i="73"/>
  <c r="Y66" i="73"/>
  <c r="Z66" i="73"/>
  <c r="Y67" i="73"/>
  <c r="Z67" i="73"/>
  <c r="AG6" i="78"/>
  <c r="AH6" i="78"/>
  <c r="AI6" i="78"/>
  <c r="J7" i="78"/>
  <c r="K7" i="78"/>
  <c r="L7" i="78"/>
  <c r="M7" i="78"/>
  <c r="AG7" i="78"/>
  <c r="AH7" i="78"/>
  <c r="AI7" i="78"/>
  <c r="L8" i="78"/>
  <c r="M8" i="78"/>
  <c r="AG8" i="78"/>
  <c r="AH8" i="78"/>
  <c r="AI8" i="78"/>
  <c r="K9" i="78"/>
  <c r="M9" i="78"/>
  <c r="AG9" i="78"/>
  <c r="AH9" i="78"/>
  <c r="AI9" i="78"/>
  <c r="S11" i="78"/>
  <c r="T11" i="78"/>
  <c r="U11" i="78"/>
  <c r="W11" i="78"/>
  <c r="X11" i="78"/>
  <c r="Y11" i="78"/>
  <c r="Z11" i="78"/>
  <c r="AB11" i="78"/>
  <c r="AC11" i="78"/>
  <c r="AD11" i="78"/>
  <c r="AE11" i="78"/>
  <c r="AF11" i="78"/>
  <c r="AG11" i="78"/>
  <c r="AH11" i="78"/>
  <c r="AI11" i="78"/>
  <c r="I12" i="78"/>
  <c r="J12" i="78"/>
  <c r="K12" i="78"/>
  <c r="M12" i="78"/>
  <c r="S12" i="78"/>
  <c r="T12" i="78"/>
  <c r="U12" i="78"/>
  <c r="W12" i="78"/>
  <c r="X12" i="78"/>
  <c r="Y12" i="78"/>
  <c r="Z12" i="78"/>
  <c r="AB12" i="78"/>
  <c r="AC12" i="78"/>
  <c r="AD12" i="78"/>
  <c r="AE12" i="78"/>
  <c r="AF12" i="78"/>
  <c r="AG12" i="78"/>
  <c r="AH12" i="78"/>
  <c r="AI12" i="78"/>
  <c r="S13" i="78"/>
  <c r="T13" i="78"/>
  <c r="U13" i="78"/>
  <c r="W13" i="78"/>
  <c r="X13" i="78"/>
  <c r="Y13" i="78"/>
  <c r="Z13" i="78"/>
  <c r="AB13" i="78"/>
  <c r="AC13" i="78"/>
  <c r="AD13" i="78"/>
  <c r="AE13" i="78"/>
  <c r="AF13" i="78"/>
  <c r="AG13" i="78"/>
  <c r="AH13" i="78"/>
  <c r="AI13" i="78"/>
  <c r="I14" i="78"/>
  <c r="K14" i="78"/>
  <c r="M14" i="78"/>
  <c r="S14" i="78"/>
  <c r="T14" i="78"/>
  <c r="U14" i="78"/>
  <c r="W14" i="78"/>
  <c r="X14" i="78"/>
  <c r="Y14" i="78"/>
  <c r="Z14" i="78"/>
  <c r="AB14" i="78"/>
  <c r="AC14" i="78"/>
  <c r="AD14" i="78"/>
  <c r="AE14" i="78"/>
  <c r="AF14" i="78"/>
  <c r="AG14" i="78"/>
  <c r="AH14" i="78"/>
  <c r="AI14" i="78"/>
  <c r="K16" i="78"/>
  <c r="M16" i="78"/>
  <c r="S16" i="78"/>
  <c r="T16" i="78"/>
  <c r="U16" i="78"/>
  <c r="W16" i="78"/>
  <c r="X16" i="78"/>
  <c r="Y16" i="78"/>
  <c r="Z16" i="78"/>
  <c r="AB16" i="78"/>
  <c r="AC16" i="78"/>
  <c r="AD16" i="78"/>
  <c r="AE16" i="78"/>
  <c r="AF16" i="78"/>
  <c r="AG16" i="78"/>
  <c r="AH16" i="78"/>
  <c r="AI16" i="78"/>
  <c r="S17" i="78"/>
  <c r="T17" i="78"/>
  <c r="U17" i="78"/>
  <c r="W17" i="78"/>
  <c r="X17" i="78"/>
  <c r="Y17" i="78"/>
  <c r="Z17" i="78"/>
  <c r="AB17" i="78"/>
  <c r="AC17" i="78"/>
  <c r="AD17" i="78"/>
  <c r="AE17" i="78"/>
  <c r="AF17" i="78"/>
  <c r="AG17" i="78"/>
  <c r="AH17" i="78"/>
  <c r="AI17" i="78"/>
  <c r="S18" i="78"/>
  <c r="T18" i="78"/>
  <c r="U18" i="78"/>
  <c r="W18" i="78"/>
  <c r="X18" i="78"/>
  <c r="Y18" i="78"/>
  <c r="Z18" i="78"/>
  <c r="AB18" i="78"/>
  <c r="AC18" i="78"/>
  <c r="AD18" i="78"/>
  <c r="AE18" i="78"/>
  <c r="AF18" i="78"/>
  <c r="AG18" i="78"/>
  <c r="AH18" i="78"/>
  <c r="AI18" i="78"/>
  <c r="M19" i="78"/>
  <c r="S19" i="78"/>
  <c r="T19" i="78"/>
  <c r="U19" i="78"/>
  <c r="W19" i="78"/>
  <c r="X19" i="78"/>
  <c r="Y19" i="78"/>
  <c r="Z19" i="78"/>
  <c r="AB19" i="78"/>
  <c r="AC19" i="78"/>
  <c r="AD19" i="78"/>
  <c r="AE19" i="78"/>
  <c r="AF19" i="78"/>
  <c r="AG19" i="78"/>
  <c r="AH19" i="78"/>
  <c r="AI19" i="78"/>
  <c r="J20" i="78"/>
  <c r="M20" i="78"/>
  <c r="J21" i="78"/>
  <c r="M21" i="78"/>
  <c r="S21" i="78"/>
  <c r="T21" i="78"/>
  <c r="U21" i="78"/>
  <c r="W21" i="78"/>
  <c r="X21" i="78"/>
  <c r="Y21" i="78"/>
  <c r="Z21" i="78"/>
  <c r="AB21" i="78"/>
  <c r="AC21" i="78"/>
  <c r="AD21" i="78"/>
  <c r="AE21" i="78"/>
  <c r="AF21" i="78"/>
  <c r="AG21" i="78"/>
  <c r="AH21" i="78"/>
  <c r="AI21" i="78"/>
  <c r="K22" i="78"/>
  <c r="S22" i="78"/>
  <c r="T22" i="78"/>
  <c r="U22" i="78"/>
  <c r="W22" i="78"/>
  <c r="X22" i="78"/>
  <c r="Y22" i="78"/>
  <c r="Z22" i="78"/>
  <c r="AB22" i="78"/>
  <c r="AC22" i="78"/>
  <c r="AD22" i="78"/>
  <c r="AE22" i="78"/>
  <c r="AF22" i="78"/>
  <c r="AG22" i="78"/>
  <c r="AH22" i="78"/>
  <c r="AI22" i="78"/>
  <c r="S23" i="78"/>
  <c r="T23" i="78"/>
  <c r="U23" i="78"/>
  <c r="W23" i="78"/>
  <c r="X23" i="78"/>
  <c r="Y23" i="78"/>
  <c r="Z23" i="78"/>
  <c r="AB23" i="78"/>
  <c r="AC23" i="78"/>
  <c r="AD23" i="78"/>
  <c r="AE23" i="78"/>
  <c r="AF23" i="78"/>
  <c r="AG23" i="78"/>
  <c r="AH23" i="78"/>
  <c r="AI23" i="78"/>
  <c r="S24" i="78"/>
  <c r="T24" i="78"/>
  <c r="U24" i="78"/>
  <c r="W24" i="78"/>
  <c r="X24" i="78"/>
  <c r="Y24" i="78"/>
  <c r="Z24" i="78"/>
  <c r="AB24" i="78"/>
  <c r="AC24" i="78"/>
  <c r="AD24" i="78"/>
  <c r="AE24" i="78"/>
  <c r="AF24" i="78"/>
  <c r="AG24" i="78"/>
  <c r="AH24" i="78"/>
  <c r="AI24" i="78"/>
  <c r="K26" i="78"/>
  <c r="L26" i="78"/>
  <c r="M26" i="78"/>
  <c r="S26" i="78"/>
  <c r="T26" i="78"/>
  <c r="U26" i="78"/>
  <c r="W26" i="78"/>
  <c r="X26" i="78"/>
  <c r="Y26" i="78"/>
  <c r="Z26" i="78"/>
  <c r="AB26" i="78"/>
  <c r="AC26" i="78"/>
  <c r="AD26" i="78"/>
  <c r="AE26" i="78"/>
  <c r="AF26" i="78"/>
  <c r="AG26" i="78"/>
  <c r="AH26" i="78"/>
  <c r="AI26" i="78"/>
  <c r="S27" i="78"/>
  <c r="T27" i="78"/>
  <c r="U27" i="78"/>
  <c r="W27" i="78"/>
  <c r="X27" i="78"/>
  <c r="Y27" i="78"/>
  <c r="Z27" i="78"/>
  <c r="AB27" i="78"/>
  <c r="AC27" i="78"/>
  <c r="AD27" i="78"/>
  <c r="AE27" i="78"/>
  <c r="AF27" i="78"/>
  <c r="AG27" i="78"/>
  <c r="AH27" i="78"/>
  <c r="AI27" i="78"/>
  <c r="L28" i="78"/>
  <c r="M28" i="78"/>
  <c r="S28" i="78"/>
  <c r="T28" i="78"/>
  <c r="U28" i="78"/>
  <c r="W28" i="78"/>
  <c r="X28" i="78"/>
  <c r="Y28" i="78"/>
  <c r="Z28" i="78"/>
  <c r="AB28" i="78"/>
  <c r="AC28" i="78"/>
  <c r="AD28" i="78"/>
  <c r="AE28" i="78"/>
  <c r="AF28" i="78"/>
  <c r="AG28" i="78"/>
  <c r="AH28" i="78"/>
  <c r="AI28" i="78"/>
  <c r="S29" i="78"/>
  <c r="T29" i="78"/>
  <c r="U29" i="78"/>
  <c r="W29" i="78"/>
  <c r="X29" i="78"/>
  <c r="Y29" i="78"/>
  <c r="Z29" i="78"/>
  <c r="AB29" i="78"/>
  <c r="AC29" i="78"/>
  <c r="AD29" i="78"/>
  <c r="AE29" i="78"/>
  <c r="AF29" i="78"/>
  <c r="AG29" i="78"/>
  <c r="AH29" i="78"/>
  <c r="AI29" i="78"/>
  <c r="S31" i="78"/>
  <c r="T31" i="78"/>
  <c r="U31" i="78"/>
  <c r="W31" i="78"/>
  <c r="X31" i="78"/>
  <c r="Y31" i="78"/>
  <c r="Z31" i="78"/>
  <c r="AB31" i="78"/>
  <c r="AC31" i="78"/>
  <c r="AD31" i="78"/>
  <c r="AE31" i="78"/>
  <c r="AF31" i="78"/>
  <c r="AG31" i="78"/>
  <c r="AH31" i="78"/>
  <c r="AI31" i="78"/>
  <c r="S32" i="78"/>
  <c r="T32" i="78"/>
  <c r="U32" i="78"/>
  <c r="W32" i="78"/>
  <c r="X32" i="78"/>
  <c r="Y32" i="78"/>
  <c r="Z32" i="78"/>
  <c r="AB32" i="78"/>
  <c r="AC32" i="78"/>
  <c r="AD32" i="78"/>
  <c r="AE32" i="78"/>
  <c r="AF32" i="78"/>
  <c r="AG32" i="78"/>
  <c r="AH32" i="78"/>
  <c r="AI32" i="78"/>
  <c r="J33" i="78"/>
  <c r="K33" i="78"/>
  <c r="S33" i="78"/>
  <c r="T33" i="78"/>
  <c r="U33" i="78"/>
  <c r="W33" i="78"/>
  <c r="X33" i="78"/>
  <c r="Y33" i="78"/>
  <c r="Z33" i="78"/>
  <c r="AB33" i="78"/>
  <c r="AC33" i="78"/>
  <c r="AD33" i="78"/>
  <c r="AE33" i="78"/>
  <c r="AF33" i="78"/>
  <c r="AG33" i="78"/>
  <c r="AH33" i="78"/>
  <c r="AI33" i="78"/>
  <c r="J34" i="78"/>
  <c r="K34" i="78"/>
  <c r="S34" i="78"/>
  <c r="T34" i="78"/>
  <c r="U34" i="78"/>
  <c r="W34" i="78"/>
  <c r="X34" i="78"/>
  <c r="Y34" i="78"/>
  <c r="Z34" i="78"/>
  <c r="AB34" i="78"/>
  <c r="AC34" i="78"/>
  <c r="AD34" i="78"/>
  <c r="AE34" i="78"/>
  <c r="AF34" i="78"/>
  <c r="AG34" i="78"/>
  <c r="AH34" i="78"/>
  <c r="AI34" i="78"/>
  <c r="J35" i="78"/>
  <c r="K35" i="78"/>
  <c r="J36" i="78"/>
  <c r="K36" i="78"/>
  <c r="S36" i="78"/>
  <c r="T36" i="78"/>
  <c r="U36" i="78"/>
  <c r="W36" i="78"/>
  <c r="X36" i="78"/>
  <c r="Y36" i="78"/>
  <c r="Z36" i="78"/>
  <c r="AB36" i="78"/>
  <c r="AC36" i="78"/>
  <c r="AD36" i="78"/>
  <c r="AE36" i="78"/>
  <c r="AF36" i="78"/>
  <c r="AG36" i="78"/>
  <c r="AH36" i="78"/>
  <c r="AI36" i="78"/>
  <c r="J37" i="78"/>
  <c r="K37" i="78"/>
  <c r="S37" i="78"/>
  <c r="T37" i="78"/>
  <c r="U37" i="78"/>
  <c r="W37" i="78"/>
  <c r="X37" i="78"/>
  <c r="Y37" i="78"/>
  <c r="Z37" i="78"/>
  <c r="AB37" i="78"/>
  <c r="AC37" i="78"/>
  <c r="AD37" i="78"/>
  <c r="AE37" i="78"/>
  <c r="AF37" i="78"/>
  <c r="AG37" i="78"/>
  <c r="AH37" i="78"/>
  <c r="AI37" i="78"/>
  <c r="S38" i="78"/>
  <c r="T38" i="78"/>
  <c r="U38" i="78"/>
  <c r="W38" i="78"/>
  <c r="X38" i="78"/>
  <c r="Y38" i="78"/>
  <c r="Z38" i="78"/>
  <c r="AB38" i="78"/>
  <c r="AC38" i="78"/>
  <c r="AD38" i="78"/>
  <c r="AE38" i="78"/>
  <c r="AF38" i="78"/>
  <c r="AG38" i="78"/>
  <c r="AH38" i="78"/>
  <c r="AI38" i="78"/>
  <c r="S39" i="78"/>
  <c r="T39" i="78"/>
  <c r="U39" i="78"/>
  <c r="W39" i="78"/>
  <c r="X39" i="78"/>
  <c r="Y39" i="78"/>
  <c r="Z39" i="78"/>
  <c r="AB39" i="78"/>
  <c r="AC39" i="78"/>
  <c r="AD39" i="78"/>
  <c r="AE39" i="78"/>
  <c r="AF39" i="78"/>
  <c r="AG39" i="78"/>
  <c r="AH39" i="78"/>
  <c r="AI39" i="78"/>
  <c r="K43" i="78"/>
  <c r="V43" i="78"/>
  <c r="K44" i="78"/>
  <c r="V44" i="78"/>
  <c r="K45" i="78"/>
  <c r="V45" i="78"/>
  <c r="K46" i="78"/>
  <c r="K47" i="78"/>
  <c r="R48" i="78"/>
  <c r="J49" i="78"/>
  <c r="R49" i="78"/>
  <c r="R51" i="78"/>
  <c r="Y63" i="78"/>
  <c r="Z63" i="78"/>
  <c r="Y64" i="78"/>
  <c r="Z64" i="78"/>
  <c r="Y65" i="78"/>
  <c r="Z65" i="78"/>
  <c r="Y66" i="78"/>
  <c r="Z66" i="78"/>
  <c r="Y67" i="78"/>
  <c r="Z67" i="78"/>
  <c r="AG6" i="79"/>
  <c r="AH6" i="79"/>
  <c r="AI6" i="79"/>
  <c r="J7" i="79"/>
  <c r="K7" i="79"/>
  <c r="L7" i="79"/>
  <c r="M7" i="79"/>
  <c r="AG7" i="79"/>
  <c r="AH7" i="79"/>
  <c r="AI7" i="79"/>
  <c r="L8" i="79"/>
  <c r="M8" i="79"/>
  <c r="AG8" i="79"/>
  <c r="AH8" i="79"/>
  <c r="AI8" i="79"/>
  <c r="K9" i="79"/>
  <c r="M9" i="79"/>
  <c r="AG9" i="79"/>
  <c r="AH9" i="79"/>
  <c r="AI9" i="79"/>
  <c r="S11" i="79"/>
  <c r="T11" i="79"/>
  <c r="U11" i="79"/>
  <c r="W11" i="79"/>
  <c r="X11" i="79"/>
  <c r="Y11" i="79"/>
  <c r="Z11" i="79"/>
  <c r="AB11" i="79"/>
  <c r="AC11" i="79"/>
  <c r="AD11" i="79"/>
  <c r="AE11" i="79"/>
  <c r="AF11" i="79"/>
  <c r="AG11" i="79"/>
  <c r="AH11" i="79"/>
  <c r="AI11" i="79"/>
  <c r="I12" i="79"/>
  <c r="J12" i="79"/>
  <c r="K12" i="79"/>
  <c r="M12" i="79"/>
  <c r="S12" i="79"/>
  <c r="T12" i="79"/>
  <c r="U12" i="79"/>
  <c r="W12" i="79"/>
  <c r="X12" i="79"/>
  <c r="Y12" i="79"/>
  <c r="Z12" i="79"/>
  <c r="AB12" i="79"/>
  <c r="AC12" i="79"/>
  <c r="AD12" i="79"/>
  <c r="AE12" i="79"/>
  <c r="AF12" i="79"/>
  <c r="AG12" i="79"/>
  <c r="AH12" i="79"/>
  <c r="AI12" i="79"/>
  <c r="S13" i="79"/>
  <c r="T13" i="79"/>
  <c r="U13" i="79"/>
  <c r="W13" i="79"/>
  <c r="X13" i="79"/>
  <c r="Y13" i="79"/>
  <c r="Z13" i="79"/>
  <c r="AB13" i="79"/>
  <c r="AC13" i="79"/>
  <c r="AD13" i="79"/>
  <c r="AE13" i="79"/>
  <c r="AF13" i="79"/>
  <c r="AG13" i="79"/>
  <c r="AH13" i="79"/>
  <c r="AI13" i="79"/>
  <c r="I14" i="79"/>
  <c r="K14" i="79"/>
  <c r="M14" i="79"/>
  <c r="S14" i="79"/>
  <c r="T14" i="79"/>
  <c r="U14" i="79"/>
  <c r="W14" i="79"/>
  <c r="X14" i="79"/>
  <c r="Y14" i="79"/>
  <c r="Z14" i="79"/>
  <c r="AB14" i="79"/>
  <c r="AC14" i="79"/>
  <c r="AD14" i="79"/>
  <c r="AE14" i="79"/>
  <c r="AF14" i="79"/>
  <c r="AG14" i="79"/>
  <c r="AH14" i="79"/>
  <c r="AI14" i="79"/>
  <c r="K16" i="79"/>
  <c r="M16" i="79"/>
  <c r="S16" i="79"/>
  <c r="T16" i="79"/>
  <c r="U16" i="79"/>
  <c r="W16" i="79"/>
  <c r="X16" i="79"/>
  <c r="Y16" i="79"/>
  <c r="Z16" i="79"/>
  <c r="AB16" i="79"/>
  <c r="AC16" i="79"/>
  <c r="AD16" i="79"/>
  <c r="AE16" i="79"/>
  <c r="AF16" i="79"/>
  <c r="AG16" i="79"/>
  <c r="AH16" i="79"/>
  <c r="AI16" i="79"/>
  <c r="S17" i="79"/>
  <c r="T17" i="79"/>
  <c r="U17" i="79"/>
  <c r="W17" i="79"/>
  <c r="X17" i="79"/>
  <c r="Y17" i="79"/>
  <c r="Z17" i="79"/>
  <c r="AB17" i="79"/>
  <c r="AC17" i="79"/>
  <c r="AD17" i="79"/>
  <c r="AE17" i="79"/>
  <c r="AF17" i="79"/>
  <c r="AG17" i="79"/>
  <c r="AH17" i="79"/>
  <c r="AI17" i="79"/>
  <c r="S18" i="79"/>
  <c r="T18" i="79"/>
  <c r="U18" i="79"/>
  <c r="W18" i="79"/>
  <c r="X18" i="79"/>
  <c r="Y18" i="79"/>
  <c r="Z18" i="79"/>
  <c r="AB18" i="79"/>
  <c r="AC18" i="79"/>
  <c r="AD18" i="79"/>
  <c r="AE18" i="79"/>
  <c r="AF18" i="79"/>
  <c r="AG18" i="79"/>
  <c r="AH18" i="79"/>
  <c r="AI18" i="79"/>
  <c r="M19" i="79"/>
  <c r="S19" i="79"/>
  <c r="T19" i="79"/>
  <c r="U19" i="79"/>
  <c r="W19" i="79"/>
  <c r="X19" i="79"/>
  <c r="Y19" i="79"/>
  <c r="Z19" i="79"/>
  <c r="AB19" i="79"/>
  <c r="AC19" i="79"/>
  <c r="AD19" i="79"/>
  <c r="AE19" i="79"/>
  <c r="AF19" i="79"/>
  <c r="AG19" i="79"/>
  <c r="AH19" i="79"/>
  <c r="AI19" i="79"/>
  <c r="J20" i="79"/>
  <c r="M20" i="79"/>
  <c r="J21" i="79"/>
  <c r="M21" i="79"/>
  <c r="S21" i="79"/>
  <c r="T21" i="79"/>
  <c r="U21" i="79"/>
  <c r="W21" i="79"/>
  <c r="X21" i="79"/>
  <c r="Y21" i="79"/>
  <c r="Z21" i="79"/>
  <c r="AB21" i="79"/>
  <c r="AC21" i="79"/>
  <c r="AD21" i="79"/>
  <c r="AE21" i="79"/>
  <c r="AF21" i="79"/>
  <c r="AG21" i="79"/>
  <c r="AH21" i="79"/>
  <c r="AI21" i="79"/>
  <c r="K22" i="79"/>
  <c r="S22" i="79"/>
  <c r="T22" i="79"/>
  <c r="U22" i="79"/>
  <c r="W22" i="79"/>
  <c r="X22" i="79"/>
  <c r="Y22" i="79"/>
  <c r="Z22" i="79"/>
  <c r="AB22" i="79"/>
  <c r="AC22" i="79"/>
  <c r="AD22" i="79"/>
  <c r="AE22" i="79"/>
  <c r="AF22" i="79"/>
  <c r="AG22" i="79"/>
  <c r="AH22" i="79"/>
  <c r="AI22" i="79"/>
  <c r="S23" i="79"/>
  <c r="T23" i="79"/>
  <c r="U23" i="79"/>
  <c r="W23" i="79"/>
  <c r="X23" i="79"/>
  <c r="Y23" i="79"/>
  <c r="Z23" i="79"/>
  <c r="AB23" i="79"/>
  <c r="AC23" i="79"/>
  <c r="AD23" i="79"/>
  <c r="AE23" i="79"/>
  <c r="AF23" i="79"/>
  <c r="AG23" i="79"/>
  <c r="AH23" i="79"/>
  <c r="AI23" i="79"/>
  <c r="S24" i="79"/>
  <c r="T24" i="79"/>
  <c r="U24" i="79"/>
  <c r="W24" i="79"/>
  <c r="X24" i="79"/>
  <c r="Y24" i="79"/>
  <c r="Z24" i="79"/>
  <c r="AB24" i="79"/>
  <c r="AC24" i="79"/>
  <c r="AD24" i="79"/>
  <c r="AE24" i="79"/>
  <c r="AF24" i="79"/>
  <c r="AG24" i="79"/>
  <c r="AH24" i="79"/>
  <c r="AI24" i="79"/>
  <c r="K26" i="79"/>
  <c r="L26" i="79"/>
  <c r="M26" i="79"/>
  <c r="S26" i="79"/>
  <c r="T26" i="79"/>
  <c r="U26" i="79"/>
  <c r="W26" i="79"/>
  <c r="X26" i="79"/>
  <c r="Y26" i="79"/>
  <c r="Z26" i="79"/>
  <c r="AB26" i="79"/>
  <c r="AC26" i="79"/>
  <c r="AD26" i="79"/>
  <c r="AE26" i="79"/>
  <c r="AF26" i="79"/>
  <c r="AG26" i="79"/>
  <c r="AH26" i="79"/>
  <c r="AI26" i="79"/>
  <c r="S27" i="79"/>
  <c r="T27" i="79"/>
  <c r="U27" i="79"/>
  <c r="W27" i="79"/>
  <c r="X27" i="79"/>
  <c r="Y27" i="79"/>
  <c r="Z27" i="79"/>
  <c r="AB27" i="79"/>
  <c r="AC27" i="79"/>
  <c r="AD27" i="79"/>
  <c r="AE27" i="79"/>
  <c r="AF27" i="79"/>
  <c r="AG27" i="79"/>
  <c r="AH27" i="79"/>
  <c r="AI27" i="79"/>
  <c r="L28" i="79"/>
  <c r="M28" i="79"/>
  <c r="S28" i="79"/>
  <c r="T28" i="79"/>
  <c r="U28" i="79"/>
  <c r="W28" i="79"/>
  <c r="X28" i="79"/>
  <c r="Y28" i="79"/>
  <c r="Z28" i="79"/>
  <c r="AB28" i="79"/>
  <c r="AC28" i="79"/>
  <c r="AD28" i="79"/>
  <c r="AE28" i="79"/>
  <c r="AF28" i="79"/>
  <c r="AG28" i="79"/>
  <c r="AH28" i="79"/>
  <c r="AI28" i="79"/>
  <c r="S29" i="79"/>
  <c r="T29" i="79"/>
  <c r="U29" i="79"/>
  <c r="W29" i="79"/>
  <c r="X29" i="79"/>
  <c r="Y29" i="79"/>
  <c r="Z29" i="79"/>
  <c r="AB29" i="79"/>
  <c r="AC29" i="79"/>
  <c r="AD29" i="79"/>
  <c r="AE29" i="79"/>
  <c r="AF29" i="79"/>
  <c r="AG29" i="79"/>
  <c r="AH29" i="79"/>
  <c r="AI29" i="79"/>
  <c r="S31" i="79"/>
  <c r="T31" i="79"/>
  <c r="U31" i="79"/>
  <c r="W31" i="79"/>
  <c r="X31" i="79"/>
  <c r="Y31" i="79"/>
  <c r="Z31" i="79"/>
  <c r="AB31" i="79"/>
  <c r="AC31" i="79"/>
  <c r="AD31" i="79"/>
  <c r="AE31" i="79"/>
  <c r="AF31" i="79"/>
  <c r="AG31" i="79"/>
  <c r="AH31" i="79"/>
  <c r="AI31" i="79"/>
  <c r="S32" i="79"/>
  <c r="T32" i="79"/>
  <c r="U32" i="79"/>
  <c r="W32" i="79"/>
  <c r="X32" i="79"/>
  <c r="Y32" i="79"/>
  <c r="Z32" i="79"/>
  <c r="AB32" i="79"/>
  <c r="AC32" i="79"/>
  <c r="AD32" i="79"/>
  <c r="AE32" i="79"/>
  <c r="AF32" i="79"/>
  <c r="AG32" i="79"/>
  <c r="AH32" i="79"/>
  <c r="AI32" i="79"/>
  <c r="J33" i="79"/>
  <c r="K33" i="79"/>
  <c r="S33" i="79"/>
  <c r="T33" i="79"/>
  <c r="U33" i="79"/>
  <c r="W33" i="79"/>
  <c r="X33" i="79"/>
  <c r="Y33" i="79"/>
  <c r="Z33" i="79"/>
  <c r="AB33" i="79"/>
  <c r="AC33" i="79"/>
  <c r="AD33" i="79"/>
  <c r="AE33" i="79"/>
  <c r="AF33" i="79"/>
  <c r="AG33" i="79"/>
  <c r="AH33" i="79"/>
  <c r="AI33" i="79"/>
  <c r="J34" i="79"/>
  <c r="K34" i="79"/>
  <c r="S34" i="79"/>
  <c r="T34" i="79"/>
  <c r="U34" i="79"/>
  <c r="W34" i="79"/>
  <c r="X34" i="79"/>
  <c r="Y34" i="79"/>
  <c r="Z34" i="79"/>
  <c r="AB34" i="79"/>
  <c r="AC34" i="79"/>
  <c r="AD34" i="79"/>
  <c r="AE34" i="79"/>
  <c r="AF34" i="79"/>
  <c r="AG34" i="79"/>
  <c r="AH34" i="79"/>
  <c r="AI34" i="79"/>
  <c r="J35" i="79"/>
  <c r="K35" i="79"/>
  <c r="J36" i="79"/>
  <c r="K36" i="79"/>
  <c r="S36" i="79"/>
  <c r="T36" i="79"/>
  <c r="U36" i="79"/>
  <c r="W36" i="79"/>
  <c r="X36" i="79"/>
  <c r="Y36" i="79"/>
  <c r="Z36" i="79"/>
  <c r="AB36" i="79"/>
  <c r="AC36" i="79"/>
  <c r="AD36" i="79"/>
  <c r="AE36" i="79"/>
  <c r="AF36" i="79"/>
  <c r="AG36" i="79"/>
  <c r="AH36" i="79"/>
  <c r="AI36" i="79"/>
  <c r="J37" i="79"/>
  <c r="K37" i="79"/>
  <c r="S37" i="79"/>
  <c r="T37" i="79"/>
  <c r="U37" i="79"/>
  <c r="W37" i="79"/>
  <c r="X37" i="79"/>
  <c r="Y37" i="79"/>
  <c r="Z37" i="79"/>
  <c r="AB37" i="79"/>
  <c r="AC37" i="79"/>
  <c r="AD37" i="79"/>
  <c r="AE37" i="79"/>
  <c r="AF37" i="79"/>
  <c r="AG37" i="79"/>
  <c r="AH37" i="79"/>
  <c r="AI37" i="79"/>
  <c r="S38" i="79"/>
  <c r="T38" i="79"/>
  <c r="U38" i="79"/>
  <c r="W38" i="79"/>
  <c r="X38" i="79"/>
  <c r="Y38" i="79"/>
  <c r="Z38" i="79"/>
  <c r="AB38" i="79"/>
  <c r="AC38" i="79"/>
  <c r="AD38" i="79"/>
  <c r="AE38" i="79"/>
  <c r="AF38" i="79"/>
  <c r="AG38" i="79"/>
  <c r="AH38" i="79"/>
  <c r="AI38" i="79"/>
  <c r="S39" i="79"/>
  <c r="T39" i="79"/>
  <c r="U39" i="79"/>
  <c r="W39" i="79"/>
  <c r="X39" i="79"/>
  <c r="Y39" i="79"/>
  <c r="Z39" i="79"/>
  <c r="AB39" i="79"/>
  <c r="AC39" i="79"/>
  <c r="AD39" i="79"/>
  <c r="AE39" i="79"/>
  <c r="AF39" i="79"/>
  <c r="AG39" i="79"/>
  <c r="AH39" i="79"/>
  <c r="AI39" i="79"/>
  <c r="K43" i="79"/>
  <c r="V43" i="79"/>
  <c r="K44" i="79"/>
  <c r="V44" i="79"/>
  <c r="K45" i="79"/>
  <c r="V45" i="79"/>
  <c r="K46" i="79"/>
  <c r="K47" i="79"/>
  <c r="R48" i="79"/>
  <c r="J49" i="79"/>
  <c r="R49" i="79"/>
  <c r="R51" i="79"/>
  <c r="Y63" i="79"/>
  <c r="Z63" i="79"/>
  <c r="Y64" i="79"/>
  <c r="Z64" i="79"/>
  <c r="Y65" i="79"/>
  <c r="Z65" i="79"/>
  <c r="Y66" i="79"/>
  <c r="Z66" i="79"/>
  <c r="Y67" i="79"/>
  <c r="Z67" i="79"/>
  <c r="AG6" i="80"/>
  <c r="AH6" i="80"/>
  <c r="AI6" i="80"/>
  <c r="J7" i="80"/>
  <c r="K7" i="80"/>
  <c r="L7" i="80"/>
  <c r="M7" i="80"/>
  <c r="AG7" i="80"/>
  <c r="AH7" i="80"/>
  <c r="AI7" i="80"/>
  <c r="L8" i="80"/>
  <c r="M8" i="80"/>
  <c r="AG8" i="80"/>
  <c r="AH8" i="80"/>
  <c r="AI8" i="80"/>
  <c r="K9" i="80"/>
  <c r="M9" i="80"/>
  <c r="AG9" i="80"/>
  <c r="AH9" i="80"/>
  <c r="AI9" i="80"/>
  <c r="S11" i="80"/>
  <c r="T11" i="80"/>
  <c r="U11" i="80"/>
  <c r="W11" i="80"/>
  <c r="X11" i="80"/>
  <c r="Y11" i="80"/>
  <c r="Z11" i="80"/>
  <c r="AB11" i="80"/>
  <c r="AC11" i="80"/>
  <c r="AD11" i="80"/>
  <c r="AE11" i="80"/>
  <c r="AF11" i="80"/>
  <c r="AG11" i="80"/>
  <c r="AH11" i="80"/>
  <c r="AI11" i="80"/>
  <c r="I12" i="80"/>
  <c r="J12" i="80"/>
  <c r="K12" i="80"/>
  <c r="M12" i="80"/>
  <c r="S12" i="80"/>
  <c r="T12" i="80"/>
  <c r="U12" i="80"/>
  <c r="W12" i="80"/>
  <c r="X12" i="80"/>
  <c r="Y12" i="80"/>
  <c r="Z12" i="80"/>
  <c r="AB12" i="80"/>
  <c r="AC12" i="80"/>
  <c r="AD12" i="80"/>
  <c r="AE12" i="80"/>
  <c r="AF12" i="80"/>
  <c r="AG12" i="80"/>
  <c r="AH12" i="80"/>
  <c r="AI12" i="80"/>
  <c r="S13" i="80"/>
  <c r="T13" i="80"/>
  <c r="U13" i="80"/>
  <c r="W13" i="80"/>
  <c r="X13" i="80"/>
  <c r="Y13" i="80"/>
  <c r="Z13" i="80"/>
  <c r="AB13" i="80"/>
  <c r="AC13" i="80"/>
  <c r="AD13" i="80"/>
  <c r="AE13" i="80"/>
  <c r="AF13" i="80"/>
  <c r="AG13" i="80"/>
  <c r="AH13" i="80"/>
  <c r="AI13" i="80"/>
  <c r="I14" i="80"/>
  <c r="K14" i="80"/>
  <c r="M14" i="80"/>
  <c r="S14" i="80"/>
  <c r="T14" i="80"/>
  <c r="U14" i="80"/>
  <c r="W14" i="80"/>
  <c r="X14" i="80"/>
  <c r="Y14" i="80"/>
  <c r="Z14" i="80"/>
  <c r="AB14" i="80"/>
  <c r="AC14" i="80"/>
  <c r="AD14" i="80"/>
  <c r="AE14" i="80"/>
  <c r="AF14" i="80"/>
  <c r="AG14" i="80"/>
  <c r="AH14" i="80"/>
  <c r="AI14" i="80"/>
  <c r="K16" i="80"/>
  <c r="M16" i="80"/>
  <c r="S16" i="80"/>
  <c r="T16" i="80"/>
  <c r="U16" i="80"/>
  <c r="W16" i="80"/>
  <c r="X16" i="80"/>
  <c r="Y16" i="80"/>
  <c r="Z16" i="80"/>
  <c r="AB16" i="80"/>
  <c r="AC16" i="80"/>
  <c r="AD16" i="80"/>
  <c r="AE16" i="80"/>
  <c r="AF16" i="80"/>
  <c r="AG16" i="80"/>
  <c r="AH16" i="80"/>
  <c r="AI16" i="80"/>
  <c r="S17" i="80"/>
  <c r="T17" i="80"/>
  <c r="U17" i="80"/>
  <c r="W17" i="80"/>
  <c r="X17" i="80"/>
  <c r="Y17" i="80"/>
  <c r="Z17" i="80"/>
  <c r="AB17" i="80"/>
  <c r="AC17" i="80"/>
  <c r="AD17" i="80"/>
  <c r="AE17" i="80"/>
  <c r="AF17" i="80"/>
  <c r="AG17" i="80"/>
  <c r="AH17" i="80"/>
  <c r="AI17" i="80"/>
  <c r="S18" i="80"/>
  <c r="T18" i="80"/>
  <c r="U18" i="80"/>
  <c r="W18" i="80"/>
  <c r="X18" i="80"/>
  <c r="Y18" i="80"/>
  <c r="Z18" i="80"/>
  <c r="AB18" i="80"/>
  <c r="AC18" i="80"/>
  <c r="AD18" i="80"/>
  <c r="AE18" i="80"/>
  <c r="AF18" i="80"/>
  <c r="AG18" i="80"/>
  <c r="AH18" i="80"/>
  <c r="AI18" i="80"/>
  <c r="M19" i="80"/>
  <c r="S19" i="80"/>
  <c r="T19" i="80"/>
  <c r="U19" i="80"/>
  <c r="W19" i="80"/>
  <c r="X19" i="80"/>
  <c r="Y19" i="80"/>
  <c r="Z19" i="80"/>
  <c r="AB19" i="80"/>
  <c r="AC19" i="80"/>
  <c r="AD19" i="80"/>
  <c r="AE19" i="80"/>
  <c r="AF19" i="80"/>
  <c r="AG19" i="80"/>
  <c r="AH19" i="80"/>
  <c r="AI19" i="80"/>
  <c r="J20" i="80"/>
  <c r="M20" i="80"/>
  <c r="J21" i="80"/>
  <c r="M21" i="80"/>
  <c r="S21" i="80"/>
  <c r="T21" i="80"/>
  <c r="U21" i="80"/>
  <c r="W21" i="80"/>
  <c r="X21" i="80"/>
  <c r="Y21" i="80"/>
  <c r="Z21" i="80"/>
  <c r="AB21" i="80"/>
  <c r="AC21" i="80"/>
  <c r="AD21" i="80"/>
  <c r="AE21" i="80"/>
  <c r="AF21" i="80"/>
  <c r="AG21" i="80"/>
  <c r="AH21" i="80"/>
  <c r="AI21" i="80"/>
  <c r="K22" i="80"/>
  <c r="S22" i="80"/>
  <c r="T22" i="80"/>
  <c r="U22" i="80"/>
  <c r="W22" i="80"/>
  <c r="X22" i="80"/>
  <c r="Y22" i="80"/>
  <c r="Z22" i="80"/>
  <c r="AB22" i="80"/>
  <c r="AC22" i="80"/>
  <c r="AD22" i="80"/>
  <c r="AE22" i="80"/>
  <c r="AF22" i="80"/>
  <c r="AG22" i="80"/>
  <c r="AH22" i="80"/>
  <c r="AI22" i="80"/>
  <c r="S23" i="80"/>
  <c r="T23" i="80"/>
  <c r="U23" i="80"/>
  <c r="W23" i="80"/>
  <c r="X23" i="80"/>
  <c r="Y23" i="80"/>
  <c r="Z23" i="80"/>
  <c r="AB23" i="80"/>
  <c r="AC23" i="80"/>
  <c r="AD23" i="80"/>
  <c r="AE23" i="80"/>
  <c r="AF23" i="80"/>
  <c r="AG23" i="80"/>
  <c r="AH23" i="80"/>
  <c r="AI23" i="80"/>
  <c r="S24" i="80"/>
  <c r="T24" i="80"/>
  <c r="U24" i="80"/>
  <c r="W24" i="80"/>
  <c r="X24" i="80"/>
  <c r="Y24" i="80"/>
  <c r="Z24" i="80"/>
  <c r="AB24" i="80"/>
  <c r="AC24" i="80"/>
  <c r="AD24" i="80"/>
  <c r="AE24" i="80"/>
  <c r="AF24" i="80"/>
  <c r="AG24" i="80"/>
  <c r="AH24" i="80"/>
  <c r="AI24" i="80"/>
  <c r="K26" i="80"/>
  <c r="L26" i="80"/>
  <c r="M26" i="80"/>
  <c r="S26" i="80"/>
  <c r="T26" i="80"/>
  <c r="U26" i="80"/>
  <c r="W26" i="80"/>
  <c r="X26" i="80"/>
  <c r="Y26" i="80"/>
  <c r="Z26" i="80"/>
  <c r="AB26" i="80"/>
  <c r="AC26" i="80"/>
  <c r="AD26" i="80"/>
  <c r="AE26" i="80"/>
  <c r="AF26" i="80"/>
  <c r="AG26" i="80"/>
  <c r="AH26" i="80"/>
  <c r="AI26" i="80"/>
  <c r="S27" i="80"/>
  <c r="T27" i="80"/>
  <c r="U27" i="80"/>
  <c r="W27" i="80"/>
  <c r="X27" i="80"/>
  <c r="Y27" i="80"/>
  <c r="Z27" i="80"/>
  <c r="AB27" i="80"/>
  <c r="AC27" i="80"/>
  <c r="AD27" i="80"/>
  <c r="AE27" i="80"/>
  <c r="AF27" i="80"/>
  <c r="AG27" i="80"/>
  <c r="AH27" i="80"/>
  <c r="AI27" i="80"/>
  <c r="L28" i="80"/>
  <c r="M28" i="80"/>
  <c r="S28" i="80"/>
  <c r="T28" i="80"/>
  <c r="U28" i="80"/>
  <c r="W28" i="80"/>
  <c r="X28" i="80"/>
  <c r="Y28" i="80"/>
  <c r="Z28" i="80"/>
  <c r="AB28" i="80"/>
  <c r="AC28" i="80"/>
  <c r="AD28" i="80"/>
  <c r="AE28" i="80"/>
  <c r="AF28" i="80"/>
  <c r="AG28" i="80"/>
  <c r="AH28" i="80"/>
  <c r="AI28" i="80"/>
  <c r="S29" i="80"/>
  <c r="T29" i="80"/>
  <c r="U29" i="80"/>
  <c r="W29" i="80"/>
  <c r="X29" i="80"/>
  <c r="Y29" i="80"/>
  <c r="Z29" i="80"/>
  <c r="AB29" i="80"/>
  <c r="AC29" i="80"/>
  <c r="AD29" i="80"/>
  <c r="AE29" i="80"/>
  <c r="AF29" i="80"/>
  <c r="AG29" i="80"/>
  <c r="AH29" i="80"/>
  <c r="AI29" i="80"/>
  <c r="S31" i="80"/>
  <c r="T31" i="80"/>
  <c r="U31" i="80"/>
  <c r="W31" i="80"/>
  <c r="X31" i="80"/>
  <c r="Y31" i="80"/>
  <c r="Z31" i="80"/>
  <c r="AB31" i="80"/>
  <c r="AC31" i="80"/>
  <c r="AD31" i="80"/>
  <c r="AE31" i="80"/>
  <c r="AF31" i="80"/>
  <c r="AG31" i="80"/>
  <c r="AH31" i="80"/>
  <c r="AI31" i="80"/>
  <c r="S32" i="80"/>
  <c r="T32" i="80"/>
  <c r="U32" i="80"/>
  <c r="W32" i="80"/>
  <c r="X32" i="80"/>
  <c r="Y32" i="80"/>
  <c r="Z32" i="80"/>
  <c r="AB32" i="80"/>
  <c r="AC32" i="80"/>
  <c r="AD32" i="80"/>
  <c r="AE32" i="80"/>
  <c r="AF32" i="80"/>
  <c r="AG32" i="80"/>
  <c r="AH32" i="80"/>
  <c r="AI32" i="80"/>
  <c r="J33" i="80"/>
  <c r="K33" i="80"/>
  <c r="S33" i="80"/>
  <c r="T33" i="80"/>
  <c r="U33" i="80"/>
  <c r="W33" i="80"/>
  <c r="X33" i="80"/>
  <c r="Y33" i="80"/>
  <c r="Z33" i="80"/>
  <c r="AB33" i="80"/>
  <c r="AC33" i="80"/>
  <c r="AD33" i="80"/>
  <c r="AE33" i="80"/>
  <c r="AF33" i="80"/>
  <c r="AG33" i="80"/>
  <c r="AH33" i="80"/>
  <c r="AI33" i="80"/>
  <c r="J34" i="80"/>
  <c r="K34" i="80"/>
  <c r="S34" i="80"/>
  <c r="T34" i="80"/>
  <c r="U34" i="80"/>
  <c r="W34" i="80"/>
  <c r="X34" i="80"/>
  <c r="Y34" i="80"/>
  <c r="Z34" i="80"/>
  <c r="AB34" i="80"/>
  <c r="AC34" i="80"/>
  <c r="AD34" i="80"/>
  <c r="AE34" i="80"/>
  <c r="AF34" i="80"/>
  <c r="AG34" i="80"/>
  <c r="AH34" i="80"/>
  <c r="AI34" i="80"/>
  <c r="J35" i="80"/>
  <c r="K35" i="80"/>
  <c r="J36" i="80"/>
  <c r="K36" i="80"/>
  <c r="S36" i="80"/>
  <c r="T36" i="80"/>
  <c r="U36" i="80"/>
  <c r="W36" i="80"/>
  <c r="X36" i="80"/>
  <c r="Y36" i="80"/>
  <c r="Z36" i="80"/>
  <c r="AB36" i="80"/>
  <c r="AC36" i="80"/>
  <c r="AD36" i="80"/>
  <c r="AE36" i="80"/>
  <c r="AF36" i="80"/>
  <c r="AG36" i="80"/>
  <c r="AH36" i="80"/>
  <c r="AI36" i="80"/>
  <c r="J37" i="80"/>
  <c r="K37" i="80"/>
  <c r="S37" i="80"/>
  <c r="T37" i="80"/>
  <c r="U37" i="80"/>
  <c r="W37" i="80"/>
  <c r="X37" i="80"/>
  <c r="Y37" i="80"/>
  <c r="Z37" i="80"/>
  <c r="AB37" i="80"/>
  <c r="AC37" i="80"/>
  <c r="AD37" i="80"/>
  <c r="AE37" i="80"/>
  <c r="AF37" i="80"/>
  <c r="AG37" i="80"/>
  <c r="AH37" i="80"/>
  <c r="AI37" i="80"/>
  <c r="S38" i="80"/>
  <c r="T38" i="80"/>
  <c r="U38" i="80"/>
  <c r="W38" i="80"/>
  <c r="X38" i="80"/>
  <c r="Y38" i="80"/>
  <c r="Z38" i="80"/>
  <c r="AB38" i="80"/>
  <c r="AC38" i="80"/>
  <c r="AD38" i="80"/>
  <c r="AE38" i="80"/>
  <c r="AF38" i="80"/>
  <c r="AG38" i="80"/>
  <c r="AH38" i="80"/>
  <c r="AI38" i="80"/>
  <c r="S39" i="80"/>
  <c r="T39" i="80"/>
  <c r="U39" i="80"/>
  <c r="W39" i="80"/>
  <c r="X39" i="80"/>
  <c r="Y39" i="80"/>
  <c r="Z39" i="80"/>
  <c r="AB39" i="80"/>
  <c r="AC39" i="80"/>
  <c r="AD39" i="80"/>
  <c r="AE39" i="80"/>
  <c r="AF39" i="80"/>
  <c r="AG39" i="80"/>
  <c r="AH39" i="80"/>
  <c r="AI39" i="80"/>
  <c r="K43" i="80"/>
  <c r="V43" i="80"/>
  <c r="K44" i="80"/>
  <c r="V44" i="80"/>
  <c r="K45" i="80"/>
  <c r="V45" i="80"/>
  <c r="K46" i="80"/>
  <c r="K47" i="80"/>
  <c r="R48" i="80"/>
  <c r="J49" i="80"/>
  <c r="R49" i="80"/>
  <c r="R51" i="80"/>
  <c r="Y63" i="80"/>
  <c r="Z63" i="80"/>
  <c r="Y64" i="80"/>
  <c r="Z64" i="80"/>
  <c r="Y65" i="80"/>
  <c r="Z65" i="80"/>
  <c r="Y66" i="80"/>
  <c r="Z66" i="80"/>
  <c r="Y67" i="80"/>
  <c r="Z67" i="80"/>
</calcChain>
</file>

<file path=xl/comments1.xml><?xml version="1.0" encoding="utf-8"?>
<comments xmlns="http://schemas.openxmlformats.org/spreadsheetml/2006/main">
  <authors>
    <author>Hammond, Greg (UTC)</author>
  </authors>
  <commentList>
    <comment ref="H58" authorId="0" shapeId="0">
      <text>
        <r>
          <rPr>
            <b/>
            <sz val="9"/>
            <color indexed="81"/>
            <rFont val="Tahoma"/>
            <family val="2"/>
          </rPr>
          <t>Hammond, Greg (UTC):</t>
        </r>
        <r>
          <rPr>
            <sz val="9"/>
            <color indexed="81"/>
            <rFont val="Tahoma"/>
            <family val="2"/>
          </rPr>
          <t xml:space="preserve">
Removed Non-Allowable expense</t>
        </r>
      </text>
    </comment>
    <comment ref="H86" authorId="0" shapeId="0">
      <text>
        <r>
          <rPr>
            <b/>
            <sz val="9"/>
            <color indexed="81"/>
            <rFont val="Tahoma"/>
            <family val="2"/>
          </rPr>
          <t>Hammond, Greg (UTC):</t>
        </r>
        <r>
          <rPr>
            <sz val="9"/>
            <color indexed="81"/>
            <rFont val="Tahoma"/>
            <family val="2"/>
          </rPr>
          <t xml:space="preserve">
Added 3 additional gains on sale (from trade-ins) per DEPN2K worksheet. Amortize all gains over 3 years</t>
        </r>
      </text>
    </comment>
  </commentList>
</comments>
</file>

<file path=xl/comments10.xml><?xml version="1.0" encoding="utf-8"?>
<comments xmlns="http://schemas.openxmlformats.org/spreadsheetml/2006/main">
  <authors>
    <author>Glen</author>
  </authors>
  <commentList>
    <comment ref="F53" authorId="0" shapeId="0">
      <text>
        <r>
          <rPr>
            <b/>
            <sz val="9"/>
            <color indexed="81"/>
            <rFont val="Tahoma"/>
            <family val="2"/>
          </rPr>
          <t>Glen:</t>
        </r>
        <r>
          <rPr>
            <sz val="9"/>
            <color indexed="81"/>
            <rFont val="Tahoma"/>
            <family val="2"/>
          </rPr>
          <t xml:space="preserve">
+10,858 for Simple IRA contribution
</t>
        </r>
      </text>
    </comment>
  </commentList>
</comments>
</file>

<file path=xl/comments11.xml><?xml version="1.0" encoding="utf-8"?>
<comments xmlns="http://schemas.openxmlformats.org/spreadsheetml/2006/main">
  <authors>
    <author>Hammond, Greg (UTC)</author>
  </authors>
  <commentList>
    <comment ref="D26" authorId="0" shapeId="0">
      <text>
        <r>
          <rPr>
            <b/>
            <sz val="9"/>
            <color indexed="81"/>
            <rFont val="Tahoma"/>
            <family val="2"/>
          </rPr>
          <t>Hammond, Greg (UTC):</t>
        </r>
        <r>
          <rPr>
            <sz val="9"/>
            <color indexed="81"/>
            <rFont val="Tahoma"/>
            <family val="2"/>
          </rPr>
          <t xml:space="preserve">
Changed link to Staff calculated amount</t>
        </r>
      </text>
    </comment>
  </commentList>
</comments>
</file>

<file path=xl/comments2.xml><?xml version="1.0" encoding="utf-8"?>
<comments xmlns="http://schemas.openxmlformats.org/spreadsheetml/2006/main">
  <authors>
    <author>Hammond, Greg (UTC)</author>
  </authors>
  <commentList>
    <comment ref="E65" authorId="0" shapeId="0">
      <text>
        <r>
          <rPr>
            <b/>
            <sz val="9"/>
            <color indexed="81"/>
            <rFont val="Tahoma"/>
            <family val="2"/>
          </rPr>
          <t>Hammond, Greg (UTC):</t>
        </r>
        <r>
          <rPr>
            <sz val="9"/>
            <color indexed="81"/>
            <rFont val="Tahoma"/>
            <family val="2"/>
          </rPr>
          <t xml:space="preserve">
This appears to be Customer Counts by County - Does not reflect reg/non-reg split. Changed to staff-created "Average of all allocators"</t>
        </r>
      </text>
    </comment>
  </commentList>
</comments>
</file>

<file path=xl/comments3.xml><?xml version="1.0" encoding="utf-8"?>
<comments xmlns="http://schemas.openxmlformats.org/spreadsheetml/2006/main">
  <authors>
    <author>Hammond, Greg (UTC)</author>
  </authors>
  <commentList>
    <comment ref="F65" authorId="0" shapeId="0">
      <text>
        <r>
          <rPr>
            <b/>
            <sz val="9"/>
            <color indexed="81"/>
            <rFont val="Tahoma"/>
            <family val="2"/>
          </rPr>
          <t>Hammond, Greg (UTC):</t>
        </r>
        <r>
          <rPr>
            <sz val="9"/>
            <color indexed="81"/>
            <rFont val="Tahoma"/>
            <family val="2"/>
          </rPr>
          <t xml:space="preserve">
Set at 100% - employee hours seems more appropriate</t>
        </r>
      </text>
    </comment>
    <comment ref="F66" authorId="0" shapeId="0">
      <text>
        <r>
          <rPr>
            <b/>
            <sz val="9"/>
            <color indexed="81"/>
            <rFont val="Tahoma"/>
            <family val="2"/>
          </rPr>
          <t>Hammond, Greg (UTC):</t>
        </r>
        <r>
          <rPr>
            <sz val="9"/>
            <color indexed="81"/>
            <rFont val="Tahoma"/>
            <family val="2"/>
          </rPr>
          <t xml:space="preserve">
This was hardcoded at 98 percent - employee hours seems more appropriate</t>
        </r>
      </text>
    </comment>
  </commentList>
</comments>
</file>

<file path=xl/comments4.xml><?xml version="1.0" encoding="utf-8"?>
<comments xmlns="http://schemas.openxmlformats.org/spreadsheetml/2006/main">
  <authors>
    <author>Hammond, Greg (UTC)</author>
  </authors>
  <commentList>
    <comment ref="J49" authorId="0" shapeId="0">
      <text>
        <r>
          <rPr>
            <b/>
            <sz val="9"/>
            <color indexed="81"/>
            <rFont val="Tahoma"/>
            <family val="2"/>
          </rPr>
          <t>Hammond, Greg (UTC):</t>
        </r>
        <r>
          <rPr>
            <sz val="9"/>
            <color indexed="81"/>
            <rFont val="Tahoma"/>
            <family val="2"/>
          </rPr>
          <t xml:space="preserve">
These were set at 98-1-1. Hardcoded numbers, changed to staff created "Average of Allocators"</t>
        </r>
      </text>
    </comment>
  </commentList>
</comments>
</file>

<file path=xl/comments5.xml><?xml version="1.0" encoding="utf-8"?>
<comments xmlns="http://schemas.openxmlformats.org/spreadsheetml/2006/main">
  <authors>
    <author>Glen</author>
  </authors>
  <commentList>
    <comment ref="K51" authorId="0" shapeId="0">
      <text>
        <r>
          <rPr>
            <b/>
            <sz val="9"/>
            <color indexed="81"/>
            <rFont val="Tahoma"/>
            <family val="2"/>
          </rPr>
          <t>Glen:</t>
        </r>
        <r>
          <rPr>
            <sz val="9"/>
            <color indexed="81"/>
            <rFont val="Tahoma"/>
            <family val="2"/>
          </rPr>
          <t xml:space="preserve">
This is to high.  Franchise includes containers also. 
We can deliver a lot of totes per trip but only a few containers
</t>
        </r>
      </text>
    </comment>
  </commentList>
</comments>
</file>

<file path=xl/comments6.xml><?xml version="1.0" encoding="utf-8"?>
<comments xmlns="http://schemas.openxmlformats.org/spreadsheetml/2006/main">
  <authors>
    <author>Hammond, Greg (UTC)</author>
    <author>Glen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Hammond, Greg (UTC):</t>
        </r>
        <r>
          <rPr>
            <sz val="9"/>
            <color indexed="81"/>
            <rFont val="Tahoma"/>
            <family val="2"/>
          </rPr>
          <t xml:space="preserve">
Recycle only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Hammond, Greg (UTC):</t>
        </r>
        <r>
          <rPr>
            <sz val="9"/>
            <color indexed="81"/>
            <rFont val="Tahoma"/>
            <family val="2"/>
          </rPr>
          <t xml:space="preserve">
Engine for Recycle</t>
        </r>
      </text>
    </comment>
    <comment ref="P19" authorId="0" shapeId="0">
      <text>
        <r>
          <rPr>
            <b/>
            <sz val="9"/>
            <color indexed="81"/>
            <rFont val="Tahoma"/>
            <family val="2"/>
          </rPr>
          <t>Hammond, Greg (UTC):</t>
        </r>
        <r>
          <rPr>
            <sz val="9"/>
            <color indexed="81"/>
            <rFont val="Tahoma"/>
            <family val="2"/>
          </rPr>
          <t xml:space="preserve">
Removed- Asset fully depreciated in 2018</t>
        </r>
      </text>
    </comment>
    <comment ref="AN19" authorId="1" shapeId="0">
      <text>
        <r>
          <rPr>
            <b/>
            <sz val="9"/>
            <color indexed="81"/>
            <rFont val="Tahoma"/>
            <family val="2"/>
          </rPr>
          <t>Glen:</t>
        </r>
        <r>
          <rPr>
            <sz val="9"/>
            <color indexed="81"/>
            <rFont val="Tahoma"/>
            <family val="2"/>
          </rPr>
          <t xml:space="preserve">
Traded in on 2020 Freightliner
</t>
        </r>
      </text>
    </comment>
    <comment ref="P21" authorId="0" shapeId="0">
      <text>
        <r>
          <rPr>
            <b/>
            <sz val="9"/>
            <color indexed="81"/>
            <rFont val="Tahoma"/>
            <family val="2"/>
          </rPr>
          <t>Hammond, Greg (UTC):</t>
        </r>
        <r>
          <rPr>
            <sz val="9"/>
            <color indexed="81"/>
            <rFont val="Tahoma"/>
            <family val="2"/>
          </rPr>
          <t xml:space="preserve">
Removed- Asset fully depreciated in 2018</t>
        </r>
      </text>
    </comment>
    <comment ref="L22" authorId="0" shapeId="0">
      <text>
        <r>
          <rPr>
            <b/>
            <sz val="9"/>
            <color indexed="81"/>
            <rFont val="Tahoma"/>
            <family val="2"/>
          </rPr>
          <t>Hammond, Greg (UTC):</t>
        </r>
        <r>
          <rPr>
            <sz val="9"/>
            <color indexed="81"/>
            <rFont val="Tahoma"/>
            <family val="2"/>
          </rPr>
          <t xml:space="preserve">
Invoice includes a 43,500 trade in credit for a 2007 Sterling w/ McNeilus 20 yd RL Body</t>
        </r>
      </text>
    </comment>
    <comment ref="L24" authorId="0" shapeId="0">
      <text>
        <r>
          <rPr>
            <b/>
            <sz val="9"/>
            <color indexed="81"/>
            <rFont val="Tahoma"/>
            <family val="2"/>
          </rPr>
          <t>Hammond, Greg (UTC):</t>
        </r>
        <r>
          <rPr>
            <sz val="9"/>
            <color indexed="81"/>
            <rFont val="Tahoma"/>
            <family val="2"/>
          </rPr>
          <t xml:space="preserve">
Includes Trade in for 2007 Sterling Acterra w 20 Yd Cobra - 35,000</t>
        </r>
      </text>
    </comment>
    <comment ref="L32" authorId="1" shapeId="0">
      <text>
        <r>
          <rPr>
            <b/>
            <sz val="9"/>
            <color indexed="81"/>
            <rFont val="Tahoma"/>
            <family val="2"/>
          </rPr>
          <t>Glen:</t>
        </r>
        <r>
          <rPr>
            <sz val="9"/>
            <color indexed="81"/>
            <rFont val="Tahoma"/>
            <family val="2"/>
          </rPr>
          <t xml:space="preserve">
Includes $40,000 trade in of 2013 Freightliner
</t>
        </r>
      </text>
    </comment>
    <comment ref="S52" authorId="0" shapeId="0">
      <text>
        <r>
          <rPr>
            <b/>
            <sz val="9"/>
            <color indexed="81"/>
            <rFont val="Tahoma"/>
            <family val="2"/>
          </rPr>
          <t>Hammond, Greg (UTC):</t>
        </r>
        <r>
          <rPr>
            <sz val="9"/>
            <color indexed="81"/>
            <rFont val="Tahoma"/>
            <family val="2"/>
          </rPr>
          <t xml:space="preserve">
How much is personal use adjustment?</t>
        </r>
      </text>
    </comment>
    <comment ref="L65" authorId="0" shapeId="0">
      <text>
        <r>
          <rPr>
            <b/>
            <sz val="9"/>
            <color indexed="81"/>
            <rFont val="Tahoma"/>
            <family val="2"/>
          </rPr>
          <t>Hammond, Greg (UTC):</t>
        </r>
        <r>
          <rPr>
            <sz val="9"/>
            <color indexed="81"/>
            <rFont val="Tahoma"/>
            <family val="2"/>
          </rPr>
          <t xml:space="preserve">
Includes 2 trade-ins 
2005 Sterling w/ McNeilus 20 YD RL 
2004 Freightliner w Rolloff Hoist</t>
        </r>
      </text>
    </comment>
    <comment ref="P208" authorId="0" shapeId="0">
      <text>
        <r>
          <rPr>
            <b/>
            <sz val="9"/>
            <color indexed="81"/>
            <rFont val="Tahoma"/>
            <family val="2"/>
          </rPr>
          <t>Hammond, Greg (UTC):</t>
        </r>
        <r>
          <rPr>
            <sz val="9"/>
            <color indexed="81"/>
            <rFont val="Tahoma"/>
            <family val="2"/>
          </rPr>
          <t xml:space="preserve">
Removed- Asset fully depreciated in 2018</t>
        </r>
      </text>
    </comment>
    <comment ref="P209" authorId="0" shapeId="0">
      <text>
        <r>
          <rPr>
            <b/>
            <sz val="9"/>
            <color indexed="81"/>
            <rFont val="Tahoma"/>
            <family val="2"/>
          </rPr>
          <t>Hammond, Greg (UTC):</t>
        </r>
        <r>
          <rPr>
            <sz val="9"/>
            <color indexed="81"/>
            <rFont val="Tahoma"/>
            <family val="2"/>
          </rPr>
          <t xml:space="preserve">
Removed- Asset fully depreciated in 2018</t>
        </r>
      </text>
    </comment>
    <comment ref="P304" authorId="0" shapeId="0">
      <text>
        <r>
          <rPr>
            <b/>
            <sz val="9"/>
            <color indexed="81"/>
            <rFont val="Tahoma"/>
            <family val="2"/>
          </rPr>
          <t>Hammond, Greg (UTC):</t>
        </r>
        <r>
          <rPr>
            <sz val="9"/>
            <color indexed="81"/>
            <rFont val="Tahoma"/>
            <family val="2"/>
          </rPr>
          <t xml:space="preserve">
Removed- Asset fully depreciated in 2018</t>
        </r>
      </text>
    </comment>
    <comment ref="P307" authorId="0" shapeId="0">
      <text>
        <r>
          <rPr>
            <b/>
            <sz val="9"/>
            <color indexed="81"/>
            <rFont val="Tahoma"/>
            <family val="2"/>
          </rPr>
          <t>Hammond, Greg (UTC):</t>
        </r>
        <r>
          <rPr>
            <sz val="9"/>
            <color indexed="81"/>
            <rFont val="Tahoma"/>
            <family val="2"/>
          </rPr>
          <t xml:space="preserve">
Removed- Asset fully depreciated in 2018</t>
        </r>
      </text>
    </comment>
  </commentList>
</comments>
</file>

<file path=xl/comments7.xml><?xml version="1.0" encoding="utf-8"?>
<comments xmlns="http://schemas.openxmlformats.org/spreadsheetml/2006/main">
  <authors>
    <author>Glen</author>
  </authors>
  <commentList>
    <comment ref="C191" authorId="0" shapeId="0">
      <text>
        <r>
          <rPr>
            <b/>
            <sz val="9"/>
            <color indexed="81"/>
            <rFont val="Tahoma"/>
            <family val="2"/>
          </rPr>
          <t>Glen:</t>
        </r>
        <r>
          <rPr>
            <sz val="9"/>
            <color indexed="81"/>
            <rFont val="Tahoma"/>
            <family val="2"/>
          </rPr>
          <t xml:space="preserve">
Use this number for 
rate cases.  It is from their new depr schedule
</t>
        </r>
      </text>
    </comment>
    <comment ref="C192" authorId="0" shapeId="0">
      <text>
        <r>
          <rPr>
            <b/>
            <sz val="9"/>
            <color indexed="81"/>
            <rFont val="Tahoma"/>
            <family val="2"/>
          </rPr>
          <t>Glen:</t>
        </r>
        <r>
          <rPr>
            <sz val="9"/>
            <color indexed="81"/>
            <rFont val="Tahoma"/>
            <family val="2"/>
          </rPr>
          <t xml:space="preserve">
Use this number for Rate Cases.  Its from their new Depr Schedule
</t>
        </r>
      </text>
    </comment>
  </commentList>
</comments>
</file>

<file path=xl/comments8.xml><?xml version="1.0" encoding="utf-8"?>
<comments xmlns="http://schemas.openxmlformats.org/spreadsheetml/2006/main">
  <authors>
    <author>Hammond, Greg (UTC)</author>
  </authors>
  <commentList>
    <comment ref="A12" authorId="0" shapeId="0">
      <text>
        <r>
          <rPr>
            <b/>
            <sz val="9"/>
            <color indexed="81"/>
            <rFont val="Tahoma"/>
            <family val="2"/>
          </rPr>
          <t xml:space="preserve">Hammond, Greg (UTC):
</t>
        </r>
        <r>
          <rPr>
            <sz val="9"/>
            <color indexed="81"/>
            <rFont val="Tahoma"/>
            <family val="2"/>
          </rPr>
          <t>Monthly service not on tariff?</t>
        </r>
      </text>
    </comment>
  </commentList>
</comments>
</file>

<file path=xl/comments9.xml><?xml version="1.0" encoding="utf-8"?>
<comments xmlns="http://schemas.openxmlformats.org/spreadsheetml/2006/main">
  <authors>
    <author>Hammond, Greg (UTC)</author>
  </authors>
  <commentList>
    <comment ref="C52" authorId="0" shapeId="0">
      <text>
        <r>
          <rPr>
            <b/>
            <sz val="9"/>
            <color indexed="81"/>
            <rFont val="Tahoma"/>
            <family val="2"/>
          </rPr>
          <t>Hammond, Greg (UTC):</t>
        </r>
        <r>
          <rPr>
            <sz val="9"/>
            <color indexed="81"/>
            <rFont val="Tahoma"/>
            <family val="2"/>
          </rPr>
          <t xml:space="preserve">
Is this residential monthly customers?</t>
        </r>
      </text>
    </comment>
  </commentList>
</comments>
</file>

<file path=xl/sharedStrings.xml><?xml version="1.0" encoding="utf-8"?>
<sst xmlns="http://schemas.openxmlformats.org/spreadsheetml/2006/main" count="5663" uniqueCount="1491">
  <si>
    <t>Zippy Disposal Service, Inc.</t>
  </si>
  <si>
    <t>Statements of Income - Income Tax Basis</t>
  </si>
  <si>
    <t>Total</t>
  </si>
  <si>
    <t>REVENUE:</t>
  </si>
  <si>
    <t>Total Revenue</t>
  </si>
  <si>
    <t>Residential revenue</t>
  </si>
  <si>
    <t>Bridgeport Contract</t>
  </si>
  <si>
    <t>Pateros Contract</t>
  </si>
  <si>
    <t>Drop box revenue</t>
  </si>
  <si>
    <t>Drop box pass through fee</t>
  </si>
  <si>
    <t>Recycling/Sale of salvage</t>
  </si>
  <si>
    <t>Misc. garbage revenue</t>
  </si>
  <si>
    <t>OPERATING EXPENSES:</t>
  </si>
  <si>
    <t>EQUIP. MAINT. &amp; GARAGE</t>
  </si>
  <si>
    <t>TRAFFIC,SOLICT. &amp; ADVERT</t>
  </si>
  <si>
    <t>INSURANCE &amp; SAFETY EXP.</t>
  </si>
  <si>
    <t>COLLECTION EXPENSES</t>
  </si>
  <si>
    <t>DISPOSAL FEES</t>
  </si>
  <si>
    <t>ADMINISTRATIVE &amp; GENERAL</t>
  </si>
  <si>
    <t>DEPRECIATION EXPENSE</t>
  </si>
  <si>
    <t>AMORTIZATION</t>
  </si>
  <si>
    <t>TAXES &amp; LICENSES</t>
  </si>
  <si>
    <t>OPERATING RENTS</t>
  </si>
  <si>
    <t>Total operating expenses</t>
  </si>
  <si>
    <t>Net operating income</t>
  </si>
  <si>
    <t>OTHER INCOME (EXPENSE):</t>
  </si>
  <si>
    <t>Total other income</t>
  </si>
  <si>
    <t>Income before taxes</t>
  </si>
  <si>
    <t>Net income</t>
  </si>
  <si>
    <t>Wages - Truck maintenance</t>
  </si>
  <si>
    <t>Wages - Container maint.</t>
  </si>
  <si>
    <t>Repairs - Trucks</t>
  </si>
  <si>
    <t>Repairs - Containers</t>
  </si>
  <si>
    <t>Tires and tubes</t>
  </si>
  <si>
    <t>Other maint &amp; supplies</t>
  </si>
  <si>
    <t>Supervision salaries</t>
  </si>
  <si>
    <t>Drivers &amp; helpers wages</t>
  </si>
  <si>
    <t>Drivers wages - rolloff</t>
  </si>
  <si>
    <t>Fuel &amp; oil</t>
  </si>
  <si>
    <t>Other collection expenses</t>
  </si>
  <si>
    <t>Disposal fees-Chelan</t>
  </si>
  <si>
    <t>Disp. fees-Chelan Pass through</t>
  </si>
  <si>
    <t>Disposal fees-Bridgeport</t>
  </si>
  <si>
    <t xml:space="preserve">Disp. Fees-Bridgeport Pass </t>
  </si>
  <si>
    <t>Tariffs and schedules</t>
  </si>
  <si>
    <t>Advertising &amp; promotion</t>
  </si>
  <si>
    <t>Public Liab &amp; Prop. Damage</t>
  </si>
  <si>
    <t>Workmen's compensation</t>
  </si>
  <si>
    <t>Other insurance expenses</t>
  </si>
  <si>
    <t>Salaries - General officers</t>
  </si>
  <si>
    <t>Wages-Billing &amp; collection</t>
  </si>
  <si>
    <t>Wages-General office</t>
  </si>
  <si>
    <t>Office &amp; other expenses</t>
  </si>
  <si>
    <t>Bank service charges</t>
  </si>
  <si>
    <t>Office equipment repairs</t>
  </si>
  <si>
    <t>Office supplies</t>
  </si>
  <si>
    <t>Postage</t>
  </si>
  <si>
    <t>Legal and accounting</t>
  </si>
  <si>
    <t>Communication &amp; utilities</t>
  </si>
  <si>
    <t>Employee welfare-health</t>
  </si>
  <si>
    <t>Employee welfare-pension</t>
  </si>
  <si>
    <t>Bad debt collection expense</t>
  </si>
  <si>
    <t>Uncollectible revenue</t>
  </si>
  <si>
    <t>Regulatory expense</t>
  </si>
  <si>
    <t>Dues &amp; subscriptions</t>
  </si>
  <si>
    <t>Employee reimbursements</t>
  </si>
  <si>
    <t>Travel</t>
  </si>
  <si>
    <t>Depreciaton expense</t>
  </si>
  <si>
    <t>Gain/loss on asset sale</t>
  </si>
  <si>
    <t>Amortization</t>
  </si>
  <si>
    <t>Vehicle licenses</t>
  </si>
  <si>
    <t>Property taxes</t>
  </si>
  <si>
    <t>Social Security taxes</t>
  </si>
  <si>
    <t>Federal Unemployment taxes</t>
  </si>
  <si>
    <t>State Unemployment taxes</t>
  </si>
  <si>
    <t>State revenue taxes</t>
  </si>
  <si>
    <t>Franchise fees</t>
  </si>
  <si>
    <t>Taxes &amp; licenses - other</t>
  </si>
  <si>
    <t>Rent for land &amp; buildings</t>
  </si>
  <si>
    <t>Net from equipment rental</t>
  </si>
  <si>
    <t>Interest income - banks</t>
  </si>
  <si>
    <t>Interest income - contracts</t>
  </si>
  <si>
    <t>Interest expense-equipment</t>
  </si>
  <si>
    <t>Misc. income</t>
  </si>
  <si>
    <t>Per Books</t>
  </si>
  <si>
    <t>Restating</t>
  </si>
  <si>
    <t>Adjustments</t>
  </si>
  <si>
    <t>Restated</t>
  </si>
  <si>
    <t>Proforma</t>
  </si>
  <si>
    <t>Adjustment</t>
  </si>
  <si>
    <t>Remove</t>
  </si>
  <si>
    <t>Fire</t>
  </si>
  <si>
    <t>Activity</t>
  </si>
  <si>
    <t>ROP</t>
  </si>
  <si>
    <t xml:space="preserve">Remove </t>
  </si>
  <si>
    <t>Contracts</t>
  </si>
  <si>
    <t>ROP w/o</t>
  </si>
  <si>
    <t xml:space="preserve">Effect of </t>
  </si>
  <si>
    <t>Proposed</t>
  </si>
  <si>
    <t>Rates</t>
  </si>
  <si>
    <t>Proforma ROP</t>
  </si>
  <si>
    <t>with Proposed</t>
  </si>
  <si>
    <t>Operating ratio</t>
  </si>
  <si>
    <t>Net Investment</t>
  </si>
  <si>
    <t>Franchise</t>
  </si>
  <si>
    <t>Allocation</t>
  </si>
  <si>
    <t>%</t>
  </si>
  <si>
    <t>Amount</t>
  </si>
  <si>
    <t xml:space="preserve">Bridgeport </t>
  </si>
  <si>
    <t>Pateros</t>
  </si>
  <si>
    <t>Summary of Route Hours, Miles, and Man Hours</t>
  </si>
  <si>
    <t>Truck Hours:</t>
  </si>
  <si>
    <t>Bridgeport</t>
  </si>
  <si>
    <t xml:space="preserve">Total </t>
  </si>
  <si>
    <t>Employee Hours:</t>
  </si>
  <si>
    <t>Truck Miles:</t>
  </si>
  <si>
    <t>City of Bridgeport</t>
  </si>
  <si>
    <t>City of Pateros</t>
  </si>
  <si>
    <t>Totals</t>
  </si>
  <si>
    <t>YD-1</t>
  </si>
  <si>
    <t>YD-2</t>
  </si>
  <si>
    <t>YD-1.5</t>
  </si>
  <si>
    <t>YD-3</t>
  </si>
  <si>
    <t>YD-4</t>
  </si>
  <si>
    <t>YD-6</t>
  </si>
  <si>
    <t>YD-8</t>
  </si>
  <si>
    <t>NEW IMPROVED LURITO - GALLAGHER FORMULA</t>
  </si>
  <si>
    <t>!??!</t>
  </si>
  <si>
    <t>OP/RATIO</t>
  </si>
  <si>
    <t xml:space="preserve">      curve</t>
  </si>
  <si>
    <t>FORMULAS</t>
  </si>
  <si>
    <t>1st Revenue</t>
  </si>
  <si>
    <t>1st Turnover</t>
  </si>
  <si>
    <t>M</t>
  </si>
  <si>
    <t>ROR</t>
  </si>
  <si>
    <t>ROE</t>
  </si>
  <si>
    <t>Adj ROE</t>
  </si>
  <si>
    <t>Pre Tax ROE</t>
  </si>
  <si>
    <t>Adj M</t>
  </si>
  <si>
    <t>Revenues</t>
  </si>
  <si>
    <t>Decision</t>
  </si>
  <si>
    <t xml:space="preserve">     lookup table</t>
  </si>
  <si>
    <t>!!!</t>
  </si>
  <si>
    <t>Revenue Requirement</t>
  </si>
  <si>
    <t>!!!&lt;--</t>
  </si>
  <si>
    <t xml:space="preserve"> 1. less than 50</t>
  </si>
  <si>
    <t>@EXP(5.72260-(.68367*@LN(T)))</t>
  </si>
  <si>
    <t>Revenue Deficiency</t>
  </si>
  <si>
    <t xml:space="preserve"> 2. Between 50 and 125</t>
  </si>
  <si>
    <t>@EXP(5.70827-(.68367*@LN(T)))</t>
  </si>
  <si>
    <t>*</t>
  </si>
  <si>
    <t>Revenue</t>
  </si>
  <si>
    <t>-</t>
  </si>
  <si>
    <t>* p/f before rates</t>
  </si>
  <si>
    <t xml:space="preserve"> 3. Between 125 and 140</t>
  </si>
  <si>
    <t>@EXP(5.69850-(.68367*@LN(T)))</t>
  </si>
  <si>
    <t>Expenses</t>
  </si>
  <si>
    <t xml:space="preserve"> 4. greater than 400</t>
  </si>
  <si>
    <t>@EXP(5.69220-(.68367*@LN(T)))</t>
  </si>
  <si>
    <t>Avg. Investment  -</t>
  </si>
  <si>
    <t>curve turnover</t>
  </si>
  <si>
    <t>(calculated)</t>
  </si>
  <si>
    <t>2nd Turnover</t>
  </si>
  <si>
    <t xml:space="preserve">     lookup tables</t>
  </si>
  <si>
    <t>final turnover</t>
  </si>
  <si>
    <t>curve No. used</t>
  </si>
  <si>
    <t xml:space="preserve">Company actual </t>
  </si>
  <si>
    <t>capital structure:</t>
  </si>
  <si>
    <t>OPERATING RATIO -&gt;</t>
  </si>
  <si>
    <t>=</t>
  </si>
  <si>
    <t>3rd Turnover</t>
  </si>
  <si>
    <t xml:space="preserve">Actual Debt Ratio </t>
  </si>
  <si>
    <t xml:space="preserve"> Conversion factor data:</t>
  </si>
  <si>
    <t>Actual Equity Ratio</t>
  </si>
  <si>
    <t xml:space="preserve"> B &amp; O Tax</t>
  </si>
  <si>
    <t>Actual Cost of Debt</t>
  </si>
  <si>
    <t xml:space="preserve"> WUTC Fee</t>
  </si>
  <si>
    <t xml:space="preserve"> City Tax</t>
  </si>
  <si>
    <t>Tax Rate</t>
  </si>
  <si>
    <t xml:space="preserve"> Bad Debts</t>
  </si>
  <si>
    <t>4th Turnover</t>
  </si>
  <si>
    <t>Revenue Sensitive</t>
  </si>
  <si>
    <t>Conversion Factor</t>
  </si>
  <si>
    <t>yes</t>
  </si>
  <si>
    <t>5th Turnover</t>
  </si>
  <si>
    <t>6th Turnover</t>
  </si>
  <si>
    <t>7th turnover</t>
  </si>
  <si>
    <t>8th turnover</t>
  </si>
  <si>
    <t>9th turnover</t>
  </si>
  <si>
    <t>Depreciation Allocation</t>
  </si>
  <si>
    <t>Collection</t>
  </si>
  <si>
    <t>Equipment</t>
  </si>
  <si>
    <t>Containers</t>
  </si>
  <si>
    <t>Shop</t>
  </si>
  <si>
    <t>Office</t>
  </si>
  <si>
    <t>Allocation Base</t>
  </si>
  <si>
    <t>Truck</t>
  </si>
  <si>
    <t>Hours</t>
  </si>
  <si>
    <t>Counts</t>
  </si>
  <si>
    <t>Restating Adjustments</t>
  </si>
  <si>
    <t>(1)</t>
  </si>
  <si>
    <t>Remove Federal Depreciation Expense</t>
  </si>
  <si>
    <t>Actual - WUTC</t>
  </si>
  <si>
    <t>(2)</t>
  </si>
  <si>
    <t>Adjust (gain)loss on sale of equipment from Federal to WUTC</t>
  </si>
  <si>
    <t>ZIPPY DISPOSAL SERVICE, INC</t>
  </si>
  <si>
    <t>BALANCE SHEET - WUTC</t>
  </si>
  <si>
    <t>ASSETS</t>
  </si>
  <si>
    <t>CURRENT ASSETS:</t>
  </si>
  <si>
    <t>Cash on hand</t>
  </si>
  <si>
    <t>NCNB-MMF savings</t>
  </si>
  <si>
    <t>Edward D. Jones MMF</t>
  </si>
  <si>
    <t>Edward D. Jones Brokerage</t>
  </si>
  <si>
    <t>Accounts receivable</t>
  </si>
  <si>
    <t>Accounts rec.-Other</t>
  </si>
  <si>
    <t>Accounts rec.-Towns</t>
  </si>
  <si>
    <t>Prepaid insurance</t>
  </si>
  <si>
    <t>Total current assets</t>
  </si>
  <si>
    <t>PROPERTY &amp; EQUIPMENT:</t>
  </si>
  <si>
    <t>Garbage collection equip.</t>
  </si>
  <si>
    <t>Containers &amp; Toters</t>
  </si>
  <si>
    <t>Service cars &amp; equipment</t>
  </si>
  <si>
    <t>Shop &amp; garage equipment</t>
  </si>
  <si>
    <t>Office furniture &amp; equip</t>
  </si>
  <si>
    <t>Less accumulated depr</t>
  </si>
  <si>
    <t>Property &amp; equipment-net</t>
  </si>
  <si>
    <t>OTHER ASSETS:</t>
  </si>
  <si>
    <t>Loan rec.-stockholder</t>
  </si>
  <si>
    <t>Total other assets</t>
  </si>
  <si>
    <t>Total assets</t>
  </si>
  <si>
    <t>ZIPPY DISPOSAL SERVICE, INC.</t>
  </si>
  <si>
    <t>LIABILITIES AND</t>
  </si>
  <si>
    <t>STOCKHOLDERS' EQUITY</t>
  </si>
  <si>
    <t>CURRENT LIABILITIES:</t>
  </si>
  <si>
    <t>Accounts payable</t>
  </si>
  <si>
    <t>State unemployment pay</t>
  </si>
  <si>
    <t>FUTA payable</t>
  </si>
  <si>
    <t>State industrial payable</t>
  </si>
  <si>
    <t>Refuse &amp; B&amp;O tax payable</t>
  </si>
  <si>
    <t>City excise tax payable</t>
  </si>
  <si>
    <t>Current portion LTD</t>
  </si>
  <si>
    <t>Total current liabilities</t>
  </si>
  <si>
    <t>LONG TERM DEBT:</t>
  </si>
  <si>
    <t>Less current portion</t>
  </si>
  <si>
    <t>Total long term debt</t>
  </si>
  <si>
    <t>STOCKHOLDERS' EQUITY:</t>
  </si>
  <si>
    <t>Common stock</t>
  </si>
  <si>
    <t>Retained Earnings</t>
  </si>
  <si>
    <t>Total stockholder equity</t>
  </si>
  <si>
    <t>Total Liab. &amp; Equity</t>
  </si>
  <si>
    <t>Diff</t>
  </si>
  <si>
    <t>Current Earnings</t>
  </si>
  <si>
    <t>Pension plan payable</t>
  </si>
  <si>
    <t>Results of Operations</t>
  </si>
  <si>
    <t>Proforma Adjustments</t>
  </si>
  <si>
    <t>(3)</t>
  </si>
  <si>
    <t>(4)</t>
  </si>
  <si>
    <t>Adjust Pass through disposal fees</t>
  </si>
  <si>
    <t xml:space="preserve">Pass through </t>
  </si>
  <si>
    <t>Difference</t>
  </si>
  <si>
    <t>Wage Adjustment</t>
  </si>
  <si>
    <t>Drivers</t>
  </si>
  <si>
    <t>Rolloff</t>
  </si>
  <si>
    <t>Labor and Industries Adjustment</t>
  </si>
  <si>
    <t>Health Insurance Adjustment</t>
  </si>
  <si>
    <t>WRRA Dues &amp; Adjustment to 80%</t>
  </si>
  <si>
    <t>Less test year total</t>
  </si>
  <si>
    <t>(5)</t>
  </si>
  <si>
    <t>Advertising Adjustment</t>
  </si>
  <si>
    <t>Remove Event Sponsorships</t>
  </si>
  <si>
    <t>(6)</t>
  </si>
  <si>
    <t>Adjust for City Contract Increases During Test Year</t>
  </si>
  <si>
    <t>(7)</t>
  </si>
  <si>
    <t>B&amp;O Tax on Increased Revenue</t>
  </si>
  <si>
    <t>Lurito - Total Franchise</t>
  </si>
  <si>
    <t>WF Cash savings</t>
  </si>
  <si>
    <t>WF Cash checking</t>
  </si>
  <si>
    <t>Wages - R/O Truck maintenance</t>
  </si>
  <si>
    <t>Wages - R/O Container maint.</t>
  </si>
  <si>
    <t>Repairs - R/O Trucks</t>
  </si>
  <si>
    <t>Repairs - R/O Containers</t>
  </si>
  <si>
    <t>Tires and tubes R/O</t>
  </si>
  <si>
    <t>Fuel &amp; oil R/O</t>
  </si>
  <si>
    <t xml:space="preserve">Drivers wages - delivery </t>
  </si>
  <si>
    <t>Drivers wages - delivery</t>
  </si>
  <si>
    <t xml:space="preserve">Wages - R/O Truck maintenance </t>
  </si>
  <si>
    <t>(8)</t>
  </si>
  <si>
    <t>Reclass Fuel &amp; Oil expense to Rolloff Fuel</t>
  </si>
  <si>
    <t>Federal W/H &amp; Fica</t>
  </si>
  <si>
    <t>Tires and tubes-R/O</t>
  </si>
  <si>
    <t>Wages - Truck maintenance - R/O</t>
  </si>
  <si>
    <t>Repairs - Trucks R/O</t>
  </si>
  <si>
    <t>Repairs - Containers R/O</t>
  </si>
  <si>
    <t>Wages - Container maint. R/O</t>
  </si>
  <si>
    <t>65 Toter</t>
  </si>
  <si>
    <t>95 Toter</t>
  </si>
  <si>
    <t>Officers</t>
  </si>
  <si>
    <t>From Chelan County.xls Results of Operations</t>
  </si>
  <si>
    <t>Notes payable-Wells Fargo</t>
  </si>
  <si>
    <t>(9)</t>
  </si>
  <si>
    <t>Adjust for Affects of Prior Rate Increases</t>
  </si>
  <si>
    <t>Chelan County</t>
  </si>
  <si>
    <t>Residential Revenue</t>
  </si>
  <si>
    <t>Douglas County</t>
  </si>
  <si>
    <t>Okanogan County</t>
  </si>
  <si>
    <t>Drop Box Revenue</t>
  </si>
  <si>
    <t>(10)</t>
  </si>
  <si>
    <t>Fuel Adjustment</t>
  </si>
  <si>
    <t>Regular Fuel Adjustment</t>
  </si>
  <si>
    <t>Rolloff Fuel Adjustment</t>
  </si>
  <si>
    <t>Drop Box</t>
  </si>
  <si>
    <t>(11)</t>
  </si>
  <si>
    <t>Container &amp; Toter Counts</t>
  </si>
  <si>
    <t>Toters:</t>
  </si>
  <si>
    <t>Containers:</t>
  </si>
  <si>
    <t>Toters</t>
  </si>
  <si>
    <t>Employment Security Adjustment</t>
  </si>
  <si>
    <t>CVB Cash savings</t>
  </si>
  <si>
    <t>`</t>
  </si>
  <si>
    <t>Beg retained earnings</t>
  </si>
  <si>
    <t>Less distributions</t>
  </si>
  <si>
    <t>Less prior period AJE</t>
  </si>
  <si>
    <t xml:space="preserve">                                                                                                                                                                                                                      </t>
  </si>
  <si>
    <t>45 Toter</t>
  </si>
  <si>
    <t>Recycling equipment</t>
  </si>
  <si>
    <t>Notes payable-Wells Fargo Isuzu</t>
  </si>
  <si>
    <t xml:space="preserve"> </t>
  </si>
  <si>
    <t>Commingled Recycling</t>
  </si>
  <si>
    <t>Cardboard Recycling</t>
  </si>
  <si>
    <t>Wages - Recycle truck maint.</t>
  </si>
  <si>
    <t>Repairs - Recycle</t>
  </si>
  <si>
    <t xml:space="preserve">Drivers wages - Recycle </t>
  </si>
  <si>
    <t xml:space="preserve">Fuel &amp; oil - Recycle </t>
  </si>
  <si>
    <t>Fuel &amp; oil - Rolloff</t>
  </si>
  <si>
    <t>Other collection exp - Recycle</t>
  </si>
  <si>
    <t>Processing fees - Recycling</t>
  </si>
  <si>
    <t>95 Recycle</t>
  </si>
  <si>
    <t>Commercial</t>
  </si>
  <si>
    <t>Recycling</t>
  </si>
  <si>
    <t>Commingled</t>
  </si>
  <si>
    <t>Recycle</t>
  </si>
  <si>
    <t xml:space="preserve">Recycle </t>
  </si>
  <si>
    <t>Recycling &amp;</t>
  </si>
  <si>
    <t>Revenue and Cost Allocations - Contracts</t>
  </si>
  <si>
    <t>Net</t>
  </si>
  <si>
    <t>Franchise Allocation</t>
  </si>
  <si>
    <t>Net of Contracts</t>
  </si>
  <si>
    <t xml:space="preserve">Commingled </t>
  </si>
  <si>
    <t>Fuel allocation</t>
  </si>
  <si>
    <t>Drivers &amp; Helpers Wage Allocation</t>
  </si>
  <si>
    <t>Drivers Wages - Delivery  Allocation</t>
  </si>
  <si>
    <t>Commingled wages tracked seperately</t>
  </si>
  <si>
    <t>Delivery not involved in Commercial Recycling</t>
  </si>
  <si>
    <t>Commingled fuel tracked seperately</t>
  </si>
  <si>
    <t>Disposal Fee Increase - Chelan</t>
  </si>
  <si>
    <t xml:space="preserve">Disposal Fee Increase - Bridgeport </t>
  </si>
  <si>
    <t>Commingled Recycle Truck:</t>
  </si>
  <si>
    <t xml:space="preserve">1999 Isuzu </t>
  </si>
  <si>
    <t>Commercial Recycle Truck:</t>
  </si>
  <si>
    <t>Depreciation:</t>
  </si>
  <si>
    <t>Commercial Recycling</t>
  </si>
  <si>
    <t>Total Franchise</t>
  </si>
  <si>
    <t>Total Miles</t>
  </si>
  <si>
    <t>Recycle Miles</t>
  </si>
  <si>
    <t>Actual</t>
  </si>
  <si>
    <t>Total Wages</t>
  </si>
  <si>
    <t>Revenue and Cost Allocations - Recycling</t>
  </si>
  <si>
    <t>Revenue and Cost Allocations - Rolloff</t>
  </si>
  <si>
    <t>Net of Contracts/Recycle</t>
  </si>
  <si>
    <t>Rent Expense Adjustment</t>
  </si>
  <si>
    <t>Rent for land &amp; buildings-Recycle</t>
  </si>
  <si>
    <t>Refuse operations</t>
  </si>
  <si>
    <t>Recycle operations</t>
  </si>
  <si>
    <t>Rent for land &amp; buildings-recycle</t>
  </si>
  <si>
    <t>Revenue %</t>
  </si>
  <si>
    <t>Rolloff Employee Hours (not included in above numbers)</t>
  </si>
  <si>
    <t>Rolloff Miles (not included in above numbers)</t>
  </si>
  <si>
    <t>As a percentage of Total Truck Hours</t>
  </si>
  <si>
    <t>As a percentage of Total Driving Hours</t>
  </si>
  <si>
    <t>As a percentage of Total Truck Miles</t>
  </si>
  <si>
    <t>Rolloff Revenue as a percentage of total revenue (excluding pass through)</t>
  </si>
  <si>
    <t>Regulatory expense %</t>
  </si>
  <si>
    <t>Franchise fees based on weight:</t>
  </si>
  <si>
    <t xml:space="preserve">  Total weight hauled per computation</t>
  </si>
  <si>
    <t xml:space="preserve">  Total weight due to rolloffs</t>
  </si>
  <si>
    <t>Depreciation</t>
  </si>
  <si>
    <t>Total driving hours</t>
  </si>
  <si>
    <t>Actual rolloff hours</t>
  </si>
  <si>
    <t>Revenue increase</t>
  </si>
  <si>
    <t>Extra Man</t>
  </si>
  <si>
    <t>Truck &amp; Driver</t>
  </si>
  <si>
    <t>Time Units:</t>
  </si>
  <si>
    <t>Other Garbage Revenue:</t>
  </si>
  <si>
    <t>30 Yard Haul-Compact</t>
  </si>
  <si>
    <t>20 Yard Haul-Compact</t>
  </si>
  <si>
    <t>Compactor Turn around</t>
  </si>
  <si>
    <t>Extra Mileage</t>
  </si>
  <si>
    <t>40 Yd Delivery</t>
  </si>
  <si>
    <t>30 Yd Delivery</t>
  </si>
  <si>
    <t>20 Yd Delivery</t>
  </si>
  <si>
    <t>10 Yd Delivery</t>
  </si>
  <si>
    <t>40 Yd Daily Rent</t>
  </si>
  <si>
    <t>30 Yd Daily Rent</t>
  </si>
  <si>
    <t>20 Yd Daily Rent</t>
  </si>
  <si>
    <t>10 Yd Daily Rent</t>
  </si>
  <si>
    <t>40 Yard Haul</t>
  </si>
  <si>
    <t>30 Yard Haul</t>
  </si>
  <si>
    <t>20 Yard Haul</t>
  </si>
  <si>
    <t>10 Yard Haul</t>
  </si>
  <si>
    <t>Drop Boxes: All are temporary</t>
  </si>
  <si>
    <t>Locking</t>
  </si>
  <si>
    <t>Rollout</t>
  </si>
  <si>
    <t>6 Yard Delivery</t>
  </si>
  <si>
    <t>4 Yard Delivery</t>
  </si>
  <si>
    <t>3 Yard Delivery</t>
  </si>
  <si>
    <t>2 Yard Delivery</t>
  </si>
  <si>
    <t>1.5 Yard Delivery</t>
  </si>
  <si>
    <t>1 Yard Delivery</t>
  </si>
  <si>
    <t>8 Yard</t>
  </si>
  <si>
    <t>6 Yard</t>
  </si>
  <si>
    <t>4 Yard</t>
  </si>
  <si>
    <t>3 Yard</t>
  </si>
  <si>
    <t>2 Yard</t>
  </si>
  <si>
    <t>1.5 Yard</t>
  </si>
  <si>
    <t>1 Yard</t>
  </si>
  <si>
    <t>Commercial:</t>
  </si>
  <si>
    <t xml:space="preserve">Drums </t>
  </si>
  <si>
    <t>Loose Yd</t>
  </si>
  <si>
    <t>Drive In</t>
  </si>
  <si>
    <t>Carry Out-Additional ft</t>
  </si>
  <si>
    <t>Carry Out-Base</t>
  </si>
  <si>
    <t>Extras</t>
  </si>
  <si>
    <t>1-95 gal Toter</t>
  </si>
  <si>
    <t>1-65 gal Toter</t>
  </si>
  <si>
    <t xml:space="preserve">1-65 gal Toter Monthly </t>
  </si>
  <si>
    <t>1-45 gal Toter</t>
  </si>
  <si>
    <t xml:space="preserve">1-45 gal Toter Monthly </t>
  </si>
  <si>
    <t>6 Can Weekly</t>
  </si>
  <si>
    <t>5 Can Weekly</t>
  </si>
  <si>
    <t>4 Can Weekly</t>
  </si>
  <si>
    <t>3 Can Weekly</t>
  </si>
  <si>
    <t>2 Can Weekly</t>
  </si>
  <si>
    <t>1 Can Weekly</t>
  </si>
  <si>
    <t>3 Can Monthly</t>
  </si>
  <si>
    <t>2 Can Monthly</t>
  </si>
  <si>
    <t>1 Can Monthly</t>
  </si>
  <si>
    <t>Mini Can</t>
  </si>
  <si>
    <t>Residential:</t>
  </si>
  <si>
    <t>Increase</t>
  </si>
  <si>
    <t>Rate</t>
  </si>
  <si>
    <t>Service</t>
  </si>
  <si>
    <t>Percent</t>
  </si>
  <si>
    <t>Per Year</t>
  </si>
  <si>
    <t xml:space="preserve">Proposed </t>
  </si>
  <si>
    <t>Calculated</t>
  </si>
  <si>
    <t>Current</t>
  </si>
  <si>
    <t xml:space="preserve">Annual </t>
  </si>
  <si>
    <t xml:space="preserve">            Chelan County </t>
  </si>
  <si>
    <t>INCREASE (GENERAL)</t>
  </si>
  <si>
    <t>INCREASE (DISPOSAL ONLY)</t>
  </si>
  <si>
    <t xml:space="preserve">Customer Price-Out, Regulated - Chelan County </t>
  </si>
  <si>
    <t>Proposed Rate Increase</t>
  </si>
  <si>
    <t>Lurito Calculated Rate Increase</t>
  </si>
  <si>
    <t>Carry Out-Additional</t>
  </si>
  <si>
    <t xml:space="preserve">            Douglas County </t>
  </si>
  <si>
    <t>Customer Price-Out, Regulated - Douglas County</t>
  </si>
  <si>
    <t xml:space="preserve">            Okanogan County </t>
  </si>
  <si>
    <t>Customer Price-Out, Regulated - Okanogan County</t>
  </si>
  <si>
    <t>Lurito - Chelan County</t>
  </si>
  <si>
    <t>Lurito - Douglas County</t>
  </si>
  <si>
    <t>Lurito - Okanogan County</t>
  </si>
  <si>
    <t>Okanogan</t>
  </si>
  <si>
    <t>Douglas</t>
  </si>
  <si>
    <t>Chelan</t>
  </si>
  <si>
    <t>Results of Operations by County</t>
  </si>
  <si>
    <t>Revenue and Cost Allocations</t>
  </si>
  <si>
    <t xml:space="preserve">Chelan </t>
  </si>
  <si>
    <t xml:space="preserve"> After Proforma Adjustment (9) For Previous Rate Increases:</t>
  </si>
  <si>
    <t>Revenue Break Down by County Excluding Drop Box  (From Counts):</t>
  </si>
  <si>
    <t>Revenue Break Down by County Excluding Drop Box</t>
  </si>
  <si>
    <t>Revenue Break Down by County (From Counts):</t>
  </si>
  <si>
    <t>Average % Allocation</t>
  </si>
  <si>
    <t>Truck Miles</t>
  </si>
  <si>
    <t>Employee Hours</t>
  </si>
  <si>
    <t>Truck Hours</t>
  </si>
  <si>
    <t xml:space="preserve"># of Customers </t>
  </si>
  <si>
    <t xml:space="preserve">Service Count Break Down </t>
  </si>
  <si>
    <t>Revenue Break Down (No drop box)</t>
  </si>
  <si>
    <t>Revenue Break Down</t>
  </si>
  <si>
    <t>County</t>
  </si>
  <si>
    <t>Average of Percentages:</t>
  </si>
  <si>
    <t>County Overhead Allocation</t>
  </si>
  <si>
    <t>Container Counts by County</t>
  </si>
  <si>
    <t>Total Pass Through from Service Counts:</t>
  </si>
  <si>
    <t>Bridgeport Transfer Station from Service Counts:</t>
  </si>
  <si>
    <t>Chelan Transfer Station from Service Counts:</t>
  </si>
  <si>
    <t>Pass Through Disposal Fees by County:</t>
  </si>
  <si>
    <t xml:space="preserve"> Adjustment (9) For Previous Rate Increases:</t>
  </si>
  <si>
    <t>Drop Box Revenue by County from Service Counts:</t>
  </si>
  <si>
    <t>Drop Box Revenue by County After Profroma</t>
  </si>
  <si>
    <t>Drop Box Allocations</t>
  </si>
  <si>
    <t>By County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</si>
  <si>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</si>
  <si>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</si>
  <si>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</si>
  <si>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</si>
  <si>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</si>
  <si>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</si>
  <si>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</si>
  <si>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</si>
  <si>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</si>
  <si>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</si>
  <si>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</si>
  <si>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</si>
  <si>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Chelan Disposal Fees:</t>
  </si>
  <si>
    <t>Chelan Yardage:</t>
  </si>
  <si>
    <t>Bridgeport Disposal Fees:</t>
  </si>
  <si>
    <t>Bridgeport Yardage:</t>
  </si>
  <si>
    <t>Disposal Fees and Yardage - From Yardage Allocation Report</t>
  </si>
  <si>
    <t>Disposal Fee Breakdown</t>
  </si>
  <si>
    <t>Total revenue per counts</t>
  </si>
  <si>
    <t>Tons</t>
  </si>
  <si>
    <t>Loose Yards</t>
  </si>
  <si>
    <t>Compacted Yards</t>
  </si>
  <si>
    <t>Pass Through Disposal Fees:</t>
  </si>
  <si>
    <t>Add Fuel Surcharge</t>
  </si>
  <si>
    <t>Less bad debts</t>
  </si>
  <si>
    <t>Add finance charges</t>
  </si>
  <si>
    <t>Carry Out-Additional feet</t>
  </si>
  <si>
    <t>Anuual</t>
  </si>
  <si>
    <t xml:space="preserve">          Full Year</t>
  </si>
  <si>
    <t xml:space="preserve">     Okanogan County </t>
  </si>
  <si>
    <t xml:space="preserve">          Okanogan County </t>
  </si>
  <si>
    <t xml:space="preserve">       Douglas County </t>
  </si>
  <si>
    <t xml:space="preserve">       Chelan County </t>
  </si>
  <si>
    <t>rates in effect during different periods</t>
  </si>
  <si>
    <t xml:space="preserve">!!! Note: Cell references will change from year to year depending on </t>
  </si>
  <si>
    <t>Service Counts - By County</t>
  </si>
  <si>
    <t>Wage Increases:</t>
  </si>
  <si>
    <t>Old</t>
  </si>
  <si>
    <t>Next</t>
  </si>
  <si>
    <t>c</t>
  </si>
  <si>
    <t>Hour</t>
  </si>
  <si>
    <t>a</t>
  </si>
  <si>
    <t>Julie Cooper</t>
  </si>
  <si>
    <t>Allen Tilbury</t>
  </si>
  <si>
    <t>Caitylyn Rinehart</t>
  </si>
  <si>
    <t>Douglas Ramsey</t>
  </si>
  <si>
    <t>Month</t>
  </si>
  <si>
    <t>Leo Miller</t>
  </si>
  <si>
    <t>Jerry Mckinney</t>
  </si>
  <si>
    <t>Mario Loera</t>
  </si>
  <si>
    <t>Paul Hunter</t>
  </si>
  <si>
    <t>Felipe De La Mora</t>
  </si>
  <si>
    <t>Narciso Cortes</t>
  </si>
  <si>
    <t>Glen Austin</t>
  </si>
  <si>
    <t>Effect</t>
  </si>
  <si>
    <t xml:space="preserve">Hours </t>
  </si>
  <si>
    <t>Period</t>
  </si>
  <si>
    <t>Name</t>
  </si>
  <si>
    <t xml:space="preserve">     Total Test Period</t>
  </si>
  <si>
    <t xml:space="preserve">Pay </t>
  </si>
  <si>
    <t xml:space="preserve">Last </t>
  </si>
  <si>
    <t xml:space="preserve"> Month</t>
  </si>
  <si>
    <t>Wage Summary</t>
  </si>
  <si>
    <t>Proforma adjustment</t>
  </si>
  <si>
    <t>Less test years total</t>
  </si>
  <si>
    <t>Less current w/h x total hours</t>
  </si>
  <si>
    <t>Current price x total hours</t>
  </si>
  <si>
    <t>Current employee w/h rate</t>
  </si>
  <si>
    <t>Current price per hour</t>
  </si>
  <si>
    <t>Average price per hour</t>
  </si>
  <si>
    <t>Less amount withheld from employees</t>
  </si>
  <si>
    <t>Cost</t>
  </si>
  <si>
    <t>Ended</t>
  </si>
  <si>
    <t>Admin</t>
  </si>
  <si>
    <t>Quarter</t>
  </si>
  <si>
    <t>Narciso Cortez</t>
  </si>
  <si>
    <t>Per Month</t>
  </si>
  <si>
    <t>Employee</t>
  </si>
  <si>
    <t>Premium</t>
  </si>
  <si>
    <t>Proforma Adjustment</t>
  </si>
  <si>
    <t>Less Per Books</t>
  </si>
  <si>
    <t>Proforma Revenue</t>
  </si>
  <si>
    <t>Date</t>
  </si>
  <si>
    <t>Proforma Adjustments for Rate Increases</t>
  </si>
  <si>
    <t xml:space="preserve">        City of Pateros</t>
  </si>
  <si>
    <t xml:space="preserve">       City of Bridgeport</t>
  </si>
  <si>
    <t xml:space="preserve">City Contract Summary </t>
  </si>
  <si>
    <t xml:space="preserve">Proforma Adjustment </t>
  </si>
  <si>
    <t>Per Ton</t>
  </si>
  <si>
    <t>Fees</t>
  </si>
  <si>
    <t>New Rate</t>
  </si>
  <si>
    <t>Old Rate</t>
  </si>
  <si>
    <t xml:space="preserve">Disposal </t>
  </si>
  <si>
    <t>Yard</t>
  </si>
  <si>
    <t>Yards</t>
  </si>
  <si>
    <t>Per</t>
  </si>
  <si>
    <t xml:space="preserve">Rate </t>
  </si>
  <si>
    <t>Disposal Fees</t>
  </si>
  <si>
    <t>1-65 gal Toter Monthly</t>
  </si>
  <si>
    <t>Prior</t>
  </si>
  <si>
    <t xml:space="preserve">Proforma </t>
  </si>
  <si>
    <t xml:space="preserve">              Chelan County </t>
  </si>
  <si>
    <t xml:space="preserve">             Chelan County </t>
  </si>
  <si>
    <t>Revenue at Current Rates</t>
  </si>
  <si>
    <t>Revenue at Prior Rates</t>
  </si>
  <si>
    <t>on rates in effect during different periods</t>
  </si>
  <si>
    <t xml:space="preserve">!!! Note: Cell references will change from year to year depending </t>
  </si>
  <si>
    <t>Proforma Effects of Prior Rate Increases - By County</t>
  </si>
  <si>
    <t>Test Period Totals</t>
  </si>
  <si>
    <t>Restating adjustment</t>
  </si>
  <si>
    <t>December 31</t>
  </si>
  <si>
    <t>December 15</t>
  </si>
  <si>
    <t>November 30</t>
  </si>
  <si>
    <t>November 15</t>
  </si>
  <si>
    <t>October 31</t>
  </si>
  <si>
    <t>October 15</t>
  </si>
  <si>
    <t>September 30</t>
  </si>
  <si>
    <t>September 15</t>
  </si>
  <si>
    <t>Employee reimbursement</t>
  </si>
  <si>
    <t>August 31</t>
  </si>
  <si>
    <t>Certified Laboratories</t>
  </si>
  <si>
    <t>August 15</t>
  </si>
  <si>
    <t>July 31</t>
  </si>
  <si>
    <t>AMEX- Gas</t>
  </si>
  <si>
    <t>July 15</t>
  </si>
  <si>
    <t>Green Petroleum-oil</t>
  </si>
  <si>
    <t>June 30</t>
  </si>
  <si>
    <t>June 15</t>
  </si>
  <si>
    <t>May 31</t>
  </si>
  <si>
    <t>Test Year Total from above</t>
  </si>
  <si>
    <t>May 15</t>
  </si>
  <si>
    <t>April 30</t>
  </si>
  <si>
    <t>April 15</t>
  </si>
  <si>
    <t>Fuel &amp; Oil</t>
  </si>
  <si>
    <t>March 31</t>
  </si>
  <si>
    <t>March 15</t>
  </si>
  <si>
    <t>February 28</t>
  </si>
  <si>
    <t>February 15</t>
  </si>
  <si>
    <t>January 31</t>
  </si>
  <si>
    <t>January 15</t>
  </si>
  <si>
    <t>Price</t>
  </si>
  <si>
    <t>Gallons</t>
  </si>
  <si>
    <t>Average</t>
  </si>
  <si>
    <t>Rolloffs</t>
  </si>
  <si>
    <t>Refuse Collection</t>
  </si>
  <si>
    <t>Green Petroleum</t>
  </si>
  <si>
    <t>Oil</t>
  </si>
  <si>
    <t>Misc</t>
  </si>
  <si>
    <t>Chelan Chevron</t>
  </si>
  <si>
    <t>Green Petroleum - Gasoline Only</t>
  </si>
  <si>
    <t>Coleman Oil</t>
  </si>
  <si>
    <t>Fuel Summary</t>
  </si>
  <si>
    <t>Times test period gallons</t>
  </si>
  <si>
    <t>Price Differential</t>
  </si>
  <si>
    <t>Last 12 month Totals</t>
  </si>
  <si>
    <t>Last 12 Months</t>
  </si>
  <si>
    <t>April  30</t>
  </si>
  <si>
    <t>Rolloff:</t>
  </si>
  <si>
    <t>Regular:</t>
  </si>
  <si>
    <t>Proforma Adjustments:</t>
  </si>
  <si>
    <t>Fleet Fueling/Conoco Phillips</t>
  </si>
  <si>
    <t xml:space="preserve">Fuel Proforma </t>
  </si>
  <si>
    <t xml:space="preserve">Less per books </t>
  </si>
  <si>
    <t>Base</t>
  </si>
  <si>
    <t>Wage</t>
  </si>
  <si>
    <t xml:space="preserve">Per Books </t>
  </si>
  <si>
    <t>64 Chelan Falls Rd</t>
  </si>
  <si>
    <t>Recycle Operations:</t>
  </si>
  <si>
    <t>63 Chelan Falls Rd</t>
  </si>
  <si>
    <t>62 Chelan Falls Rd</t>
  </si>
  <si>
    <t>61 Chelan Falls Rd</t>
  </si>
  <si>
    <t>60 Chelan Falls Rd</t>
  </si>
  <si>
    <t>Refuse Operations:</t>
  </si>
  <si>
    <t>Proforma Adj</t>
  </si>
  <si>
    <t>Rent Expense:</t>
  </si>
  <si>
    <t>Rent Expense</t>
  </si>
  <si>
    <t>A</t>
  </si>
  <si>
    <t>B&amp;O reports</t>
  </si>
  <si>
    <t>Quarterly reports</t>
  </si>
  <si>
    <t>Employment Security rate notice</t>
  </si>
  <si>
    <t>L&amp;I rate notice</t>
  </si>
  <si>
    <t>Loan documents</t>
  </si>
  <si>
    <t>Equipment receipts</t>
  </si>
  <si>
    <t>(These can be sent later directly to staff)</t>
  </si>
  <si>
    <t>Supporting Documents for Staff:</t>
  </si>
  <si>
    <t>Building &amp; Property Rent</t>
  </si>
  <si>
    <t>Landfill rate ordinances</t>
  </si>
  <si>
    <t>C</t>
  </si>
  <si>
    <t>Copies: (Put in Back Tab of Notebook)</t>
  </si>
  <si>
    <t>Service Counts</t>
  </si>
  <si>
    <t>Drop Box Allocation</t>
  </si>
  <si>
    <t>Container Count</t>
  </si>
  <si>
    <t>Hours and Miles</t>
  </si>
  <si>
    <t>Depr Allocation</t>
  </si>
  <si>
    <t>Overhead Allocations</t>
  </si>
  <si>
    <t>Cost Allocations</t>
  </si>
  <si>
    <t>Lurito - Okanogan</t>
  </si>
  <si>
    <t>Lurito - Douglas</t>
  </si>
  <si>
    <t>Lurito- Chelan</t>
  </si>
  <si>
    <t>Priceout - Okanogan</t>
  </si>
  <si>
    <t>Priceout - Douglas</t>
  </si>
  <si>
    <t>Priceout - Chelan</t>
  </si>
  <si>
    <t>Employment Security</t>
  </si>
  <si>
    <t>Fuel Proforma</t>
  </si>
  <si>
    <t>Previous Rate Increases</t>
  </si>
  <si>
    <t>City Contracts</t>
  </si>
  <si>
    <t>Health Insurance</t>
  </si>
  <si>
    <t>L&amp;I</t>
  </si>
  <si>
    <t>Monthly income statements</t>
  </si>
  <si>
    <t>Wutc Balance Sheet</t>
  </si>
  <si>
    <t>Lurito</t>
  </si>
  <si>
    <t>Total Operations</t>
  </si>
  <si>
    <t>Bridgeport Service Counts</t>
  </si>
  <si>
    <t>Pateros Service Counts</t>
  </si>
  <si>
    <t>Service Count Data</t>
  </si>
  <si>
    <t>Monthly Data-Disposal fees</t>
  </si>
  <si>
    <t>Monthly Data-Container counts</t>
  </si>
  <si>
    <t>Monthly Data-Hours &amp; Miles</t>
  </si>
  <si>
    <t>General Data:</t>
  </si>
  <si>
    <t>Annual Report Data Template</t>
  </si>
  <si>
    <t>Completed</t>
  </si>
  <si>
    <t>C =</t>
  </si>
  <si>
    <t>Partially Completed</t>
  </si>
  <si>
    <t xml:space="preserve">P = </t>
  </si>
  <si>
    <t>Awaiting Data</t>
  </si>
  <si>
    <t xml:space="preserve">A = </t>
  </si>
  <si>
    <t>Rate Case Checklist</t>
  </si>
  <si>
    <t>Residential</t>
  </si>
  <si>
    <t>Number of Customers by Customer Class:</t>
  </si>
  <si>
    <t>Number of Customers By County:</t>
  </si>
  <si>
    <t>Total Net Average Investment</t>
  </si>
  <si>
    <t>(Recheck cell references after updating Depr schedule)</t>
  </si>
  <si>
    <t>Depreciation Expense</t>
  </si>
  <si>
    <t>Operating</t>
  </si>
  <si>
    <t>Non</t>
  </si>
  <si>
    <t xml:space="preserve">Recycling </t>
  </si>
  <si>
    <t>Info from WUTC Depreciation Schedule:</t>
  </si>
  <si>
    <t>State Refuse Collection tax</t>
  </si>
  <si>
    <t>State B&amp;O tax - Retailing</t>
  </si>
  <si>
    <t>State B&amp;O tax - Services</t>
  </si>
  <si>
    <t>Tax Rates:</t>
  </si>
  <si>
    <t>General Data</t>
  </si>
  <si>
    <t>Rolloff Miles</t>
  </si>
  <si>
    <t>Rolloff Employee Hours</t>
  </si>
  <si>
    <t>Net Chelan</t>
  </si>
  <si>
    <t>Cardboard</t>
  </si>
  <si>
    <t xml:space="preserve">October </t>
  </si>
  <si>
    <t>Yards per County</t>
  </si>
  <si>
    <t>From Monthly Reports</t>
  </si>
  <si>
    <t>YD8</t>
  </si>
  <si>
    <t>YD6</t>
  </si>
  <si>
    <t>YD4</t>
  </si>
  <si>
    <t>YD3</t>
  </si>
  <si>
    <t>YD2</t>
  </si>
  <si>
    <t>YD1.5</t>
  </si>
  <si>
    <t>YD1</t>
  </si>
  <si>
    <t>RO30</t>
  </si>
  <si>
    <t>RO20</t>
  </si>
  <si>
    <t>RO10</t>
  </si>
  <si>
    <t>Chelan Commercial Recycling Processing Fees:</t>
  </si>
  <si>
    <t>Chelan Commercial Recycling Yardage:</t>
  </si>
  <si>
    <t>Chelan Commingled Recycling Processing Fees:</t>
  </si>
  <si>
    <t>Chelan Commingled Recycling Yardage:</t>
  </si>
  <si>
    <t>OKA</t>
  </si>
  <si>
    <t>DOU</t>
  </si>
  <si>
    <t>CHE</t>
  </si>
  <si>
    <t>YDM1</t>
  </si>
  <si>
    <t>YDE02</t>
  </si>
  <si>
    <t>YDE01</t>
  </si>
  <si>
    <t>ROTON</t>
  </si>
  <si>
    <t>ROLY</t>
  </si>
  <si>
    <t>ROLL</t>
  </si>
  <si>
    <t>ROCY</t>
  </si>
  <si>
    <t>RO40R</t>
  </si>
  <si>
    <t>RO40</t>
  </si>
  <si>
    <t>RO30R</t>
  </si>
  <si>
    <t>RO20R</t>
  </si>
  <si>
    <t>RO10R</t>
  </si>
  <si>
    <t>RCTURN</t>
  </si>
  <si>
    <t>RC30</t>
  </si>
  <si>
    <t>RC20</t>
  </si>
  <si>
    <t>R8YD</t>
  </si>
  <si>
    <t>R6YD</t>
  </si>
  <si>
    <t>R4YD</t>
  </si>
  <si>
    <t>R3YD</t>
  </si>
  <si>
    <t>R2YD</t>
  </si>
  <si>
    <t>R1.5YD</t>
  </si>
  <si>
    <t>R1YD</t>
  </si>
  <si>
    <t>MISC</t>
  </si>
  <si>
    <t>MILES</t>
  </si>
  <si>
    <t>LOOSE</t>
  </si>
  <si>
    <t>LOCK</t>
  </si>
  <si>
    <t>HOURX</t>
  </si>
  <si>
    <t>HOURT</t>
  </si>
  <si>
    <t>HOURC</t>
  </si>
  <si>
    <t>FC</t>
  </si>
  <si>
    <t>DRUMS</t>
  </si>
  <si>
    <t>DI</t>
  </si>
  <si>
    <t>DE40Y</t>
  </si>
  <si>
    <t>DE30Y</t>
  </si>
  <si>
    <t>DE20Y</t>
  </si>
  <si>
    <t>DE10Y</t>
  </si>
  <si>
    <t>D8YD</t>
  </si>
  <si>
    <t>D6YD</t>
  </si>
  <si>
    <t>D4YD</t>
  </si>
  <si>
    <t>D3YD</t>
  </si>
  <si>
    <t>D2YD</t>
  </si>
  <si>
    <t>D1.5YD</t>
  </si>
  <si>
    <t>D1YD</t>
  </si>
  <si>
    <t>CR50*</t>
  </si>
  <si>
    <t>CR25*</t>
  </si>
  <si>
    <t>CQ50</t>
  </si>
  <si>
    <t>CQ25</t>
  </si>
  <si>
    <t>CP50*</t>
  </si>
  <si>
    <t>CP25</t>
  </si>
  <si>
    <t>CP100*</t>
  </si>
  <si>
    <t>CO50*</t>
  </si>
  <si>
    <t>CO25</t>
  </si>
  <si>
    <t>CO125</t>
  </si>
  <si>
    <t>CO100</t>
  </si>
  <si>
    <t>CANX</t>
  </si>
  <si>
    <t>CANU6</t>
  </si>
  <si>
    <t>CANU5</t>
  </si>
  <si>
    <t>CANU4</t>
  </si>
  <si>
    <t>CANU3</t>
  </si>
  <si>
    <t>CANU2</t>
  </si>
  <si>
    <t>CANU1</t>
  </si>
  <si>
    <t>CANM3</t>
  </si>
  <si>
    <t>CANM2</t>
  </si>
  <si>
    <t>CANM1</t>
  </si>
  <si>
    <t>CANM</t>
  </si>
  <si>
    <t>CAN96</t>
  </si>
  <si>
    <t>CAN95</t>
  </si>
  <si>
    <t>CAN66</t>
  </si>
  <si>
    <t>CAN65</t>
  </si>
  <si>
    <t>CAN61</t>
  </si>
  <si>
    <t>CAN45</t>
  </si>
  <si>
    <t>CAN41</t>
  </si>
  <si>
    <t>CAN6</t>
  </si>
  <si>
    <t>CAN5</t>
  </si>
  <si>
    <t>CAN4</t>
  </si>
  <si>
    <t xml:space="preserve">CAN3 </t>
  </si>
  <si>
    <t>CAN2</t>
  </si>
  <si>
    <t xml:space="preserve">  </t>
  </si>
  <si>
    <t>CAN1</t>
  </si>
  <si>
    <t xml:space="preserve">January </t>
  </si>
  <si>
    <t>Adjusted</t>
  </si>
  <si>
    <t>Split Year Totals</t>
  </si>
  <si>
    <t xml:space="preserve">INPUT FROM MONTHLY REVENUE REPORT PER SERVICE PER COUNTY PER DAY/ROUTE </t>
  </si>
  <si>
    <t>Total Per Books</t>
  </si>
  <si>
    <t>Loose</t>
  </si>
  <si>
    <t>6 Yard 2x</t>
  </si>
  <si>
    <t>4 Yard 2x</t>
  </si>
  <si>
    <t>2 Yard 2x</t>
  </si>
  <si>
    <t>1 Yard 2x</t>
  </si>
  <si>
    <t>6 Yard Rental</t>
  </si>
  <si>
    <t>4 Yard Rental</t>
  </si>
  <si>
    <t>2 Yard Rental</t>
  </si>
  <si>
    <t>1 Yard Rental</t>
  </si>
  <si>
    <t>95 gal tote</t>
  </si>
  <si>
    <t>65 gal tote</t>
  </si>
  <si>
    <t>Extra Cans</t>
  </si>
  <si>
    <t>2-95 gal tote</t>
  </si>
  <si>
    <t>1 Can</t>
  </si>
  <si>
    <t>Service:</t>
  </si>
  <si>
    <t>City of Pateros Service Counts</t>
  </si>
  <si>
    <t>Pickups:</t>
  </si>
  <si>
    <t>96-gal tote</t>
  </si>
  <si>
    <t>64-gal tote</t>
  </si>
  <si>
    <t>96 gal tote</t>
  </si>
  <si>
    <t>64 gal tote</t>
  </si>
  <si>
    <t>Senior 64 gal tote</t>
  </si>
  <si>
    <t>City of Bridgeport Service Counts</t>
  </si>
  <si>
    <t>next year</t>
  </si>
  <si>
    <t>XXXX</t>
  </si>
  <si>
    <t>test period year</t>
  </si>
  <si>
    <t>0 months in second year</t>
  </si>
  <si>
    <t>12 months in first year</t>
  </si>
  <si>
    <t xml:space="preserve"> Set up for calendar year test period</t>
  </si>
  <si>
    <t>NOTE:</t>
  </si>
  <si>
    <t>Average Investment</t>
  </si>
  <si>
    <t>boy</t>
  </si>
  <si>
    <t>eoy</t>
  </si>
  <si>
    <t>TOTAL EQUIPMENT</t>
  </si>
  <si>
    <t>Beg of yr.</t>
  </si>
  <si>
    <t>TOTAL OFFICE EQUIPMENT</t>
  </si>
  <si>
    <t>SL</t>
  </si>
  <si>
    <t>DELL XPS COMPUTER</t>
  </si>
  <si>
    <t>LEXMARK XS652 COPIER</t>
  </si>
  <si>
    <t>DELL OPTIPLEX 330</t>
  </si>
  <si>
    <t xml:space="preserve">HP FAX MACHINE </t>
  </si>
  <si>
    <t>HP 4300DTNS PRINTER</t>
  </si>
  <si>
    <t>OKIDATA 395 PRINTER</t>
  </si>
  <si>
    <t>DELL INSPIRON 6400</t>
  </si>
  <si>
    <t>HP 4250 PRINTER</t>
  </si>
  <si>
    <t xml:space="preserve">DELL DIMENSION 9150 </t>
  </si>
  <si>
    <t xml:space="preserve">DELL DIMENSION 3000 </t>
  </si>
  <si>
    <t>OFFICE DESK</t>
  </si>
  <si>
    <t>OFFICE CABINETS</t>
  </si>
  <si>
    <t>NEC PHONE SYSTEM</t>
  </si>
  <si>
    <t>SECURITY SYSTEM</t>
  </si>
  <si>
    <t>OKIDATA 396 PRINTER</t>
  </si>
  <si>
    <t>RICOH COPIER</t>
  </si>
  <si>
    <t>HP 4000 PRINTER</t>
  </si>
  <si>
    <t xml:space="preserve">SHARP CALCULATOR </t>
  </si>
  <si>
    <t xml:space="preserve">OFFICE DESK &amp; CREDENZA   </t>
  </si>
  <si>
    <t>OFFICE EQUIP./FURNITURE:</t>
  </si>
  <si>
    <t>TOTAL OTHER EQUIP.</t>
  </si>
  <si>
    <t>1946 CHEVY PANEL TRUCK</t>
  </si>
  <si>
    <t>STORAGE CONTAINER LID</t>
  </si>
  <si>
    <t xml:space="preserve">WATER TANK       </t>
  </si>
  <si>
    <t xml:space="preserve">WATER TANK      </t>
  </si>
  <si>
    <t>TOTAL SHOP EQUIP.</t>
  </si>
  <si>
    <t>JOHN DEERE MOWER</t>
  </si>
  <si>
    <t>BENDPAK LIFT</t>
  </si>
  <si>
    <t>BOBCAT CT225 W/BOX BLADE</t>
  </si>
  <si>
    <t>AIR COMPRESSOR</t>
  </si>
  <si>
    <t>FLAMMABLE STORAGE CABINET</t>
  </si>
  <si>
    <t>PRESSURE WASHER</t>
  </si>
  <si>
    <t>PORTABLE WELDER</t>
  </si>
  <si>
    <t>PLASMA CUTTER</t>
  </si>
  <si>
    <t>LINCOLN WIRE FEED WELDER</t>
  </si>
  <si>
    <t>KUBOTA TRACTOR L4400DT</t>
  </si>
  <si>
    <t>DEWALT METAL CHOP SAW</t>
  </si>
  <si>
    <t>AIR IMPACT GUN 1"</t>
  </si>
  <si>
    <t>SHOP BENCHES</t>
  </si>
  <si>
    <t>FORKLIFT</t>
  </si>
  <si>
    <t xml:space="preserve">WIRE FEED WELDER        </t>
  </si>
  <si>
    <t>SHOP EQUIPMENT:</t>
  </si>
  <si>
    <t>TOTAL RECYCLING EQUIP.</t>
  </si>
  <si>
    <t xml:space="preserve">MOVING USED BAILER </t>
  </si>
  <si>
    <t>RECYCLING EQUIPMENT:</t>
  </si>
  <si>
    <t xml:space="preserve">TOTERS 300-95 GAL RECYCLE </t>
  </si>
  <si>
    <t xml:space="preserve">TOTERS 200-95 GAL RECYCLE </t>
  </si>
  <si>
    <t>RECYCLING TOTERS:</t>
  </si>
  <si>
    <t xml:space="preserve">TOTAL ROLLOFF CONTAINERS </t>
  </si>
  <si>
    <t>CONTAINERS 2-30YD</t>
  </si>
  <si>
    <t>CONTAINERS 1-30YD</t>
  </si>
  <si>
    <t>CONTAINERS 2-20YD</t>
  </si>
  <si>
    <t>CONTAINERS 1-20YD</t>
  </si>
  <si>
    <t>CONTAINERS 2-10YD</t>
  </si>
  <si>
    <t xml:space="preserve">CONTAINERS 1-20YD </t>
  </si>
  <si>
    <t>CONTAINERS 2-10YD USED</t>
  </si>
  <si>
    <t xml:space="preserve">CONTAINERS 1 20CYD kit     </t>
  </si>
  <si>
    <t xml:space="preserve">CONTAINERS 1 30CYD     </t>
  </si>
  <si>
    <t xml:space="preserve">CONTAINERS 1 20CYD     </t>
  </si>
  <si>
    <t xml:space="preserve">CONTAINERS 2 30CYD     </t>
  </si>
  <si>
    <t xml:space="preserve">CONTAINERS 5 40CYD     </t>
  </si>
  <si>
    <t xml:space="preserve">CONTAINERS 1 11CYD     </t>
  </si>
  <si>
    <t xml:space="preserve">CONTAINERS 2 30CYD        </t>
  </si>
  <si>
    <t>ROLLOFF CONTAINERS:</t>
  </si>
  <si>
    <t>TOTAL TOTERS</t>
  </si>
  <si>
    <t>TOTERS 192-95 GAL</t>
  </si>
  <si>
    <t>TOTERS 96-65 GAL</t>
  </si>
  <si>
    <t>TOTERS 200-95 GAL</t>
  </si>
  <si>
    <t>TOTERS 100-65 GAL</t>
  </si>
  <si>
    <t>TOTERS 100-45 GAL</t>
  </si>
  <si>
    <t>TOTERS 120-95 GAL</t>
  </si>
  <si>
    <t>TOTERS 100-95 GAL</t>
  </si>
  <si>
    <t>TOTERS 20-300 GAL</t>
  </si>
  <si>
    <t>TOTERS 200-64 GAL</t>
  </si>
  <si>
    <t>TOTERS 100-96 GAL</t>
  </si>
  <si>
    <t>TOTERS 564-48 GAL</t>
  </si>
  <si>
    <t>TOTERS 50-300 GAL</t>
  </si>
  <si>
    <t>TOTERS 100-64 GAL</t>
  </si>
  <si>
    <t>TOTERS 1176-64 GAL</t>
  </si>
  <si>
    <t xml:space="preserve">TOTERS 348-96 GAL  </t>
  </si>
  <si>
    <t xml:space="preserve">TOTERS 100-65 GAL  </t>
  </si>
  <si>
    <t>TOTERS:</t>
  </si>
  <si>
    <t xml:space="preserve">TOTAL BINS &amp; CONTAINERS </t>
  </si>
  <si>
    <t xml:space="preserve">CONTAINERS 4-6YD </t>
  </si>
  <si>
    <t xml:space="preserve">CONTAINERS 12-2YD </t>
  </si>
  <si>
    <t xml:space="preserve">CONTAINERS 10-2YD </t>
  </si>
  <si>
    <t xml:space="preserve">CONTAINERS 2-6YD </t>
  </si>
  <si>
    <t xml:space="preserve">CONTAINERS 12-1YD </t>
  </si>
  <si>
    <t>CONTAINERS 9-6YD USED</t>
  </si>
  <si>
    <t>CONTAINERS 3-4YD USED</t>
  </si>
  <si>
    <t>CONTAINERS 4-4YD</t>
  </si>
  <si>
    <t>CONTAINERS 10-4YD  USED</t>
  </si>
  <si>
    <t>CONTAINERS 10-6YD  USED</t>
  </si>
  <si>
    <t>CONTAINERS 4-6YD</t>
  </si>
  <si>
    <t>CONTAINERS 12-1YD</t>
  </si>
  <si>
    <t>CONTAINERS 2-4YD</t>
  </si>
  <si>
    <t>CONTAINERS 1-1YD</t>
  </si>
  <si>
    <t>CONTAINERS 2-6YD</t>
  </si>
  <si>
    <t xml:space="preserve">CONTAINERS 15-2YD </t>
  </si>
  <si>
    <t xml:space="preserve">CONTAINERS 20-1YD </t>
  </si>
  <si>
    <t>CONTAINERS 5-6YD USED</t>
  </si>
  <si>
    <t>CONTAINERS 15-2YD</t>
  </si>
  <si>
    <t>CONTAINERS 15-1YD</t>
  </si>
  <si>
    <t>CONTAINERS 10-1YD</t>
  </si>
  <si>
    <t xml:space="preserve">CONTAINERS 2-6CYD  HEAVY DUTY   </t>
  </si>
  <si>
    <t xml:space="preserve">CONTAINERS 1-6CYD     </t>
  </si>
  <si>
    <t xml:space="preserve">CONTAINERS 2-4CYD     </t>
  </si>
  <si>
    <t xml:space="preserve">CONTAINERS 15-2CYD     </t>
  </si>
  <si>
    <t xml:space="preserve">CONTAINERS 10-1CYD     </t>
  </si>
  <si>
    <t xml:space="preserve">CONTAINERS 2-6CYD     </t>
  </si>
  <si>
    <t xml:space="preserve">CONTAINERS 2 4CYD     </t>
  </si>
  <si>
    <t xml:space="preserve">CONTAINERS 15 2CYD     </t>
  </si>
  <si>
    <t xml:space="preserve">CONTAINERS 15 1CYD     </t>
  </si>
  <si>
    <t xml:space="preserve">CONTAINERS 4 4CYD     </t>
  </si>
  <si>
    <t xml:space="preserve">CONTAINERS 20 2CYD     </t>
  </si>
  <si>
    <t xml:space="preserve">CONTAINERS 20 1CYD     </t>
  </si>
  <si>
    <t xml:space="preserve">CONTAINERS 10 2CYD     </t>
  </si>
  <si>
    <t xml:space="preserve">CONTAINERS 10 1CYD    </t>
  </si>
  <si>
    <t xml:space="preserve">CONTAINERS 10 6CYD     </t>
  </si>
  <si>
    <t xml:space="preserve">CONTAINERS 1 4CYD     </t>
  </si>
  <si>
    <t xml:space="preserve">CONTAINERS 2 6CYD     </t>
  </si>
  <si>
    <t xml:space="preserve">CONTAINERS 10 1CYD     </t>
  </si>
  <si>
    <t xml:space="preserve">CONTAINERS 12 1CYD     </t>
  </si>
  <si>
    <t xml:space="preserve">CONTAINERS 8 2CYD     </t>
  </si>
  <si>
    <t xml:space="preserve">CONTAINERS 5 1CYD     </t>
  </si>
  <si>
    <t xml:space="preserve">CONTAINERS 5 2CYD     </t>
  </si>
  <si>
    <t xml:space="preserve">CONTAINERS 5 3CYD     </t>
  </si>
  <si>
    <t xml:space="preserve">CONTAINERS 2 1CYD     </t>
  </si>
  <si>
    <t xml:space="preserve">CONTAINERS 2 3CYD     </t>
  </si>
  <si>
    <t xml:space="preserve">CONTAINERS 12 2CYD  </t>
  </si>
  <si>
    <t xml:space="preserve">CONTAINERS 1 2CYD     </t>
  </si>
  <si>
    <t xml:space="preserve">CONTAINERS 5 1CYD      </t>
  </si>
  <si>
    <t xml:space="preserve">CONTAINERS 9 2CYD     </t>
  </si>
  <si>
    <t xml:space="preserve">CONTAINERS 3 BOTTOMS   </t>
  </si>
  <si>
    <t xml:space="preserve">CONTAINERS 5 6CYD     </t>
  </si>
  <si>
    <t xml:space="preserve">CONTAINERS 4 2CYD     </t>
  </si>
  <si>
    <t xml:space="preserve">CONTAINERS 8 1CYD     </t>
  </si>
  <si>
    <t xml:space="preserve">CONTAINERS 2 2CYD     </t>
  </si>
  <si>
    <t xml:space="preserve">CONTAINERS 1 1CYD        </t>
  </si>
  <si>
    <t xml:space="preserve">CONTAINERS 7 2CYD        </t>
  </si>
  <si>
    <t xml:space="preserve">CONTAINERS 4 1CYD        </t>
  </si>
  <si>
    <t xml:space="preserve">CONTAINERS 3 1.5CYD      </t>
  </si>
  <si>
    <t>BINS 5 2CYD  4 1CYD</t>
  </si>
  <si>
    <t>BINS 7 1CYD</t>
  </si>
  <si>
    <t>BINS 14  2CYD</t>
  </si>
  <si>
    <t>BINS 2 8CYD</t>
  </si>
  <si>
    <t>CONTAINERS</t>
  </si>
  <si>
    <t>BINS</t>
  </si>
  <si>
    <t xml:space="preserve">BINS </t>
  </si>
  <si>
    <t>BINS 20</t>
  </si>
  <si>
    <t>BINS &amp; CONTAINERS:</t>
  </si>
  <si>
    <t>TOTAL ROLLOFF EQUIPMENT</t>
  </si>
  <si>
    <t>2013 FREIGHTLINER ROLLOFF</t>
  </si>
  <si>
    <t>1994 CHEVY 3500 HOOKLIFT</t>
  </si>
  <si>
    <t>ROLLOFF EQUIPMENT:</t>
  </si>
  <si>
    <t>2018 FREIGHTLINER W/20YD COBRA</t>
  </si>
  <si>
    <t>2018 PETERBILT SL W/29YD LABRIE</t>
  </si>
  <si>
    <t>2003 PETERBILT SL REBUILD</t>
  </si>
  <si>
    <t>2017 ISUZU WAYNE TOMCAT</t>
  </si>
  <si>
    <t>2017 GMC TRUCK</t>
  </si>
  <si>
    <t>2016 FREIGHTLINER W/20YD COBRA</t>
  </si>
  <si>
    <t>SOFT TOUCH GRABBERS/HEIL</t>
  </si>
  <si>
    <t>2013 PETERBILT SL W/20YD COBRA</t>
  </si>
  <si>
    <t>2003 PETERBILT 320/HEIL SL</t>
  </si>
  <si>
    <t>2013 FREIGHTLINER W/20YD COBRA</t>
  </si>
  <si>
    <t>ENGINE FOR ISUZU 6YD</t>
  </si>
  <si>
    <t>TRAILER</t>
  </si>
  <si>
    <t>TOTE LIFT - 2005 STERLING</t>
  </si>
  <si>
    <t>SNOW PLOW</t>
  </si>
  <si>
    <t>FORD F250 PICKUP</t>
  </si>
  <si>
    <t>2001 FORD F45O FLATBED</t>
  </si>
  <si>
    <t>1999 ISUZU W/6YD TOMCAT</t>
  </si>
  <si>
    <t>TRAILERS</t>
  </si>
  <si>
    <t>E.</t>
  </si>
  <si>
    <t>D.</t>
  </si>
  <si>
    <t>C.</t>
  </si>
  <si>
    <t>B</t>
  </si>
  <si>
    <t>A.</t>
  </si>
  <si>
    <t>Investment</t>
  </si>
  <si>
    <t>Depr.</t>
  </si>
  <si>
    <t>Allo.</t>
  </si>
  <si>
    <t>Depn.</t>
  </si>
  <si>
    <t>Depn</t>
  </si>
  <si>
    <t>Disposal</t>
  </si>
  <si>
    <t xml:space="preserve"> Mo.</t>
  </si>
  <si>
    <t xml:space="preserve">  Yr.</t>
  </si>
  <si>
    <t>Mo</t>
  </si>
  <si>
    <t>Yr</t>
  </si>
  <si>
    <t>DESCRIPTION</t>
  </si>
  <si>
    <t>(loss)</t>
  </si>
  <si>
    <t>Depr</t>
  </si>
  <si>
    <t>Test year</t>
  </si>
  <si>
    <t>Test yr.</t>
  </si>
  <si>
    <t>Year</t>
  </si>
  <si>
    <t>Monthly</t>
  </si>
  <si>
    <t>Depreciable</t>
  </si>
  <si>
    <t>Asset</t>
  </si>
  <si>
    <t>Fully</t>
  </si>
  <si>
    <t>Life</t>
  </si>
  <si>
    <t>Method</t>
  </si>
  <si>
    <t>Value</t>
  </si>
  <si>
    <t xml:space="preserve">   Service</t>
  </si>
  <si>
    <t>Gain</t>
  </si>
  <si>
    <t>Accum</t>
  </si>
  <si>
    <t>Sales</t>
  </si>
  <si>
    <t>Accum.</t>
  </si>
  <si>
    <t>Branch</t>
  </si>
  <si>
    <t>Accumulated</t>
  </si>
  <si>
    <t>Allocated</t>
  </si>
  <si>
    <t xml:space="preserve">  Asset  </t>
  </si>
  <si>
    <t>Salvage</t>
  </si>
  <si>
    <t xml:space="preserve">   Date in</t>
  </si>
  <si>
    <t>Disposition Date</t>
  </si>
  <si>
    <t>Beginning</t>
  </si>
  <si>
    <t>Beg of Test Period</t>
  </si>
  <si>
    <t>Highlighted vehicles subject to personal use adjustment</t>
  </si>
  <si>
    <t>Date fully Depr</t>
  </si>
  <si>
    <t>Second year</t>
  </si>
  <si>
    <t>End of Test Period</t>
  </si>
  <si>
    <t>B.</t>
  </si>
  <si>
    <t>First year</t>
  </si>
  <si>
    <t>Purchase date</t>
  </si>
  <si>
    <t>Months in second year</t>
  </si>
  <si>
    <t>Months in first year</t>
  </si>
  <si>
    <t>Depreciation Schedule</t>
  </si>
  <si>
    <t>Zippy Disposal</t>
  </si>
  <si>
    <t/>
  </si>
  <si>
    <t>Per Priceout</t>
  </si>
  <si>
    <t>Regulated</t>
  </si>
  <si>
    <t>Less: Non-Regulated and Res. Recy.</t>
  </si>
  <si>
    <t>Allocation %</t>
  </si>
  <si>
    <t>Allocator</t>
  </si>
  <si>
    <t>Direct</t>
  </si>
  <si>
    <t>Comm. Container Count</t>
  </si>
  <si>
    <t>Direct (Disp. Cost)</t>
  </si>
  <si>
    <t>Avg. of all Allocators</t>
  </si>
  <si>
    <t>Percentage of Depreciation Exp.</t>
  </si>
  <si>
    <t>Allocation by County</t>
  </si>
  <si>
    <t>Chelan Regulated</t>
  </si>
  <si>
    <t>Adj. #</t>
  </si>
  <si>
    <t>Ties to GL</t>
  </si>
  <si>
    <t>Douglas Regulated</t>
  </si>
  <si>
    <t>Okanogan Regulated</t>
  </si>
  <si>
    <t>check</t>
  </si>
  <si>
    <t>Trailers - Salvage Recovery</t>
  </si>
  <si>
    <t>Trailer - Salvage Recovery</t>
  </si>
  <si>
    <t>1999 ISUZU W/6YD TOMCAT - Salvage Recovery</t>
  </si>
  <si>
    <t>2001 FORD F45O FLATBED - Salvage Recovery</t>
  </si>
  <si>
    <t>FORD F250 PICKUP - Salvage Recovery</t>
  </si>
  <si>
    <t>SNOW PLOW - Salvage Recovery</t>
  </si>
  <si>
    <t>TOTE LIFT - 2005 STERLING - Salvage Recovery</t>
  </si>
  <si>
    <t>ENGINE FOR ISUZU 6YD - Salvage Recovery</t>
  </si>
  <si>
    <t xml:space="preserve">Staff </t>
  </si>
  <si>
    <t>EOP Investment</t>
  </si>
  <si>
    <t>2013 FREIGHTLINER W/20YD COBRA - Salvage Recovery</t>
  </si>
  <si>
    <t>New assets since last GRC</t>
  </si>
  <si>
    <t>1994 CHEVY 3500 HOOKLIFT - Salvage Recovery</t>
  </si>
  <si>
    <t>KUBOTA TRACTOR L4400DT - Salvage Recovery</t>
  </si>
  <si>
    <t>LINCOLN WIRE FEED WELDER - Salvage Recovery</t>
  </si>
  <si>
    <t>PLASMA CUTTER - Salvage Recovery</t>
  </si>
  <si>
    <t>PORTABLE WELDER - Salvage Recovery</t>
  </si>
  <si>
    <t>PRESSURE WASHER - Salvage Recovery</t>
  </si>
  <si>
    <t>Investment Allocation</t>
  </si>
  <si>
    <t>Remove - Recycle</t>
  </si>
  <si>
    <t>Staff Agrees with Allocation Method</t>
  </si>
  <si>
    <t xml:space="preserve">Total WRRA </t>
  </si>
  <si>
    <t>Less: Sponsor Annual Meeting</t>
  </si>
  <si>
    <t>Regulated/Non-Regulated Alloc.</t>
  </si>
  <si>
    <t>Service Count Break Down (Residential and Commercial Only)</t>
  </si>
  <si>
    <t>Monthly Subscribers</t>
  </si>
  <si>
    <t>Staff LG % Increase</t>
  </si>
  <si>
    <t>Staff Calculated</t>
  </si>
  <si>
    <t>Staff</t>
  </si>
  <si>
    <t>Revenue Incr.</t>
  </si>
  <si>
    <t>LG Rev. Requirement</t>
  </si>
  <si>
    <t>Variance</t>
  </si>
  <si>
    <t>Regulated Total</t>
  </si>
  <si>
    <t>Staff Changed Allocation Method</t>
  </si>
  <si>
    <t>Final turnover</t>
  </si>
  <si>
    <t>Profit Margin</t>
  </si>
  <si>
    <t>Operating Ratio</t>
  </si>
  <si>
    <t>Return on Equity</t>
  </si>
  <si>
    <t>Return on Investment</t>
  </si>
  <si>
    <t>After Tax</t>
  </si>
  <si>
    <t>Pre-tax</t>
  </si>
  <si>
    <t>Operating Statistics</t>
  </si>
  <si>
    <t>Slope</t>
  </si>
  <si>
    <t>Equity</t>
  </si>
  <si>
    <t>Pfd.</t>
  </si>
  <si>
    <t>Y intercept (4)</t>
  </si>
  <si>
    <t>Y intercept (2)</t>
  </si>
  <si>
    <t>Debt</t>
  </si>
  <si>
    <t>Y intercept (3)</t>
  </si>
  <si>
    <t>Y intercept (1)</t>
  </si>
  <si>
    <t>Weighted</t>
  </si>
  <si>
    <t>Regression Results</t>
  </si>
  <si>
    <t>Base Utility from LG Sample Study</t>
  </si>
  <si>
    <t>Curve No. used</t>
  </si>
  <si>
    <t>Curve turnover</t>
  </si>
  <si>
    <t>Percent Chg</t>
  </si>
  <si>
    <t>Lookup Table</t>
  </si>
  <si>
    <t>Taxes</t>
  </si>
  <si>
    <t>Curve</t>
  </si>
  <si>
    <t>Revenue Sensitive Taxes Charges</t>
  </si>
  <si>
    <t>7th Iteration</t>
  </si>
  <si>
    <t>Income Tax</t>
  </si>
  <si>
    <t>6th Iteration</t>
  </si>
  <si>
    <t>After</t>
  </si>
  <si>
    <t>Before</t>
  </si>
  <si>
    <t>5th Iteration</t>
  </si>
  <si>
    <t>Cost of Capital</t>
  </si>
  <si>
    <t>Type</t>
  </si>
  <si>
    <t>● Corrects interest rate transposition in LG.</t>
  </si>
  <si>
    <t>Financing Cost</t>
  </si>
  <si>
    <t>Captial Structure Financing Investment</t>
  </si>
  <si>
    <t xml:space="preserve">   resulting revenue requirment,</t>
  </si>
  <si>
    <t>● Minimizes impact of changes in test-year revenue from</t>
  </si>
  <si>
    <t>● Allows Income Tax Rate Changes,</t>
  </si>
  <si>
    <t>Rate Increase</t>
  </si>
  <si>
    <t>2018 Version Update Changes</t>
  </si>
  <si>
    <t>4th Iteration</t>
  </si>
  <si>
    <t>Rev Sensitive Taxes</t>
  </si>
  <si>
    <t>Revenue Increase before taxes</t>
  </si>
  <si>
    <t>Historical Revenue</t>
  </si>
  <si>
    <t>For Intial input: Uncheck Checkbox Until Completed</t>
  </si>
  <si>
    <t>No</t>
  </si>
  <si>
    <t xml:space="preserve">Operating Ratio </t>
  </si>
  <si>
    <t>Check when input is complete</t>
  </si>
  <si>
    <t>3rd Iteration</t>
  </si>
  <si>
    <t>Net Income</t>
  </si>
  <si>
    <t>Bad Debts</t>
  </si>
  <si>
    <t>City Tax</t>
  </si>
  <si>
    <t>Income Tax Expense</t>
  </si>
  <si>
    <t>WUTC Fee</t>
  </si>
  <si>
    <t>Interest Expense</t>
  </si>
  <si>
    <t>B&amp;O Tax Rate</t>
  </si>
  <si>
    <t>2nd Iteration</t>
  </si>
  <si>
    <t>Federal Income Tax Rate</t>
  </si>
  <si>
    <t>Operating Income</t>
  </si>
  <si>
    <t>Capital Structure - Debt Cost</t>
  </si>
  <si>
    <t>Operating Expenses</t>
  </si>
  <si>
    <t>Capital Structure - Debt %</t>
  </si>
  <si>
    <t>Operating Revenue</t>
  </si>
  <si>
    <t>Requirment</t>
  </si>
  <si>
    <t xml:space="preserve"> Sensitive Taxes</t>
  </si>
  <si>
    <t>Change</t>
  </si>
  <si>
    <t>No.</t>
  </si>
  <si>
    <t>Revenue Req</t>
  </si>
  <si>
    <t>RevS Taxes</t>
  </si>
  <si>
    <t>Profit Ratio</t>
  </si>
  <si>
    <t>BTROR</t>
  </si>
  <si>
    <t>Equity BFT</t>
  </si>
  <si>
    <t>BTROE</t>
  </si>
  <si>
    <t>WCDebt</t>
  </si>
  <si>
    <t>BTROI</t>
  </si>
  <si>
    <t>Add: Revenue</t>
  </si>
  <si>
    <t>Historical</t>
  </si>
  <si>
    <t>Line</t>
  </si>
  <si>
    <t xml:space="preserve">RevS </t>
  </si>
  <si>
    <t>Increase After</t>
  </si>
  <si>
    <t xml:space="preserve"> Increase Before</t>
  </si>
  <si>
    <t>Before RevS</t>
  </si>
  <si>
    <t>Before Tax</t>
  </si>
  <si>
    <t>Weighted Cost</t>
  </si>
  <si>
    <t>Less</t>
  </si>
  <si>
    <t>(f)</t>
  </si>
  <si>
    <t>(e)</t>
  </si>
  <si>
    <t>(d)</t>
  </si>
  <si>
    <t>(c)</t>
  </si>
  <si>
    <t>(b)</t>
  </si>
  <si>
    <t>(a)</t>
  </si>
  <si>
    <t>INPUTS - Test Year</t>
  </si>
  <si>
    <t xml:space="preserve">Revenue </t>
  </si>
  <si>
    <t>Hauler</t>
  </si>
  <si>
    <t>Regession</t>
  </si>
  <si>
    <t>(d) + (e)</t>
  </si>
  <si>
    <t>(b) + (c)</t>
  </si>
  <si>
    <t>Revenue Senstive Taxes (RevS)</t>
  </si>
  <si>
    <t>CALCULATION TABLES</t>
  </si>
  <si>
    <t>nonpubco</t>
  </si>
  <si>
    <r>
      <t xml:space="preserve">LURITO - GALLAGHER FORMULA  MODEL 2018  </t>
    </r>
    <r>
      <rPr>
        <sz val="8"/>
        <color indexed="9"/>
        <rFont val="Calibri"/>
        <family val="2"/>
      </rPr>
      <t>V5.0a</t>
    </r>
  </si>
  <si>
    <t>Non-Public Companies</t>
  </si>
  <si>
    <t>Total WRRA Dues</t>
  </si>
  <si>
    <t>Staff Adjustment Summary</t>
  </si>
  <si>
    <t>Staff Proposed</t>
  </si>
  <si>
    <t>Result</t>
  </si>
  <si>
    <t>Tires and tubes Recycle</t>
  </si>
  <si>
    <t xml:space="preserve">Tires and tubes Recycle </t>
  </si>
  <si>
    <t>(12)</t>
  </si>
  <si>
    <t>Commingled Processing Costs</t>
  </si>
  <si>
    <t>Average Bale weight (pounds)</t>
  </si>
  <si>
    <t xml:space="preserve">  Total weight in pounds</t>
  </si>
  <si>
    <t>Convert to tons</t>
  </si>
  <si>
    <t xml:space="preserve">  Total weight in tons</t>
  </si>
  <si>
    <t>Quoted processing rate including shipping</t>
  </si>
  <si>
    <t xml:space="preserve">  Total estimated processing cost</t>
  </si>
  <si>
    <t>2013 Freighliner Rolloff</t>
  </si>
  <si>
    <t>CANR95</t>
  </si>
  <si>
    <t>R45,65,95</t>
  </si>
  <si>
    <t xml:space="preserve">Toter Removal </t>
  </si>
  <si>
    <t>1-95 gal Recycle Tote</t>
  </si>
  <si>
    <t>Rate per yard beginning 3/1/2019</t>
  </si>
  <si>
    <t>Roberto Vejar</t>
  </si>
  <si>
    <t>Carrie Austin</t>
  </si>
  <si>
    <t xml:space="preserve">CONTAINERS 2-4YD </t>
  </si>
  <si>
    <t xml:space="preserve">CONTAINERS 24-2YD </t>
  </si>
  <si>
    <t>2013 PETERBILT SL REBUILD PACKER AND ARM</t>
  </si>
  <si>
    <t xml:space="preserve">2013 PETERBILT SL NEW ARM ASSEMBLY </t>
  </si>
  <si>
    <t>2017 FREIGHTLINER W/20YD COBRA</t>
  </si>
  <si>
    <t xml:space="preserve">FLOOR SCALE </t>
  </si>
  <si>
    <t>TRUCK STEP LADDER</t>
  </si>
  <si>
    <t>BOBCAT CT225 W/BACKHOE</t>
  </si>
  <si>
    <t>2019 FORD TRUCK</t>
  </si>
  <si>
    <t>(13)</t>
  </si>
  <si>
    <t>Amortize gain over 3 years from last rate case</t>
  </si>
  <si>
    <t>Employee Truck Hours:</t>
  </si>
  <si>
    <t>Employee Truck Hours</t>
  </si>
  <si>
    <t>1-45 gal Toter Monthly</t>
  </si>
  <si>
    <t>Toter removal</t>
  </si>
  <si>
    <t>Postage-Statements</t>
  </si>
  <si>
    <t>REBUILT CONTAINERS</t>
  </si>
  <si>
    <t>State family leave</t>
  </si>
  <si>
    <t>Chelan County Waste Fee</t>
  </si>
  <si>
    <t>Postage-statements</t>
  </si>
  <si>
    <t>Tires and tubes-Recycle</t>
  </si>
  <si>
    <t xml:space="preserve">From  </t>
  </si>
  <si>
    <t xml:space="preserve">Company </t>
  </si>
  <si>
    <t>F/S</t>
  </si>
  <si>
    <t>2019 Bridgeport Transfer Station Tonnage:</t>
  </si>
  <si>
    <t>From Payroll Reports</t>
  </si>
  <si>
    <t>1/1 - 5/31</t>
  </si>
  <si>
    <t>5 months</t>
  </si>
  <si>
    <t>6/1 - 12/31</t>
  </si>
  <si>
    <t>7 Months</t>
  </si>
  <si>
    <t>2020 FREIGHTLINER W/20YD COBRA</t>
  </si>
  <si>
    <t xml:space="preserve">Gain to </t>
  </si>
  <si>
    <t>Recognize</t>
  </si>
  <si>
    <t xml:space="preserve">Sale </t>
  </si>
  <si>
    <t xml:space="preserve">Monthly </t>
  </si>
  <si>
    <t xml:space="preserve">Recognize </t>
  </si>
  <si>
    <t>this year</t>
  </si>
  <si>
    <t xml:space="preserve">Deferred </t>
  </si>
  <si>
    <t xml:space="preserve">Gain </t>
  </si>
  <si>
    <t>CONTAINERS 6-6YD</t>
  </si>
  <si>
    <t>LIFT GATE INSTALL</t>
  </si>
  <si>
    <t>DUMP TRAILER 4000#</t>
  </si>
  <si>
    <t>Randy Lloyd</t>
  </si>
  <si>
    <t>Limit</t>
  </si>
  <si>
    <t>REBUILT 30YD</t>
  </si>
  <si>
    <t>Loose Yards-Brush</t>
  </si>
  <si>
    <t>ROBR</t>
  </si>
  <si>
    <t>Rent</t>
  </si>
  <si>
    <t>Service Count Break Down by County: ( Should exclude drop box container rents and mileage-fix next time)</t>
  </si>
  <si>
    <t>STATUS</t>
  </si>
  <si>
    <t xml:space="preserve">STATUS </t>
  </si>
  <si>
    <t>Amortize gain on equipment traded in:</t>
  </si>
  <si>
    <t xml:space="preserve">Depr Life of </t>
  </si>
  <si>
    <t>New Asset</t>
  </si>
  <si>
    <t>Trade in</t>
  </si>
  <si>
    <t>Date of</t>
  </si>
  <si>
    <t>Gain to Recognize:</t>
  </si>
  <si>
    <t>2013 Freightliner traded in on 2020 Freightliner</t>
  </si>
  <si>
    <t>Pro Forma</t>
  </si>
  <si>
    <t>Cost Allocations - Contracts</t>
  </si>
  <si>
    <t>Cost Allocations - Recycle</t>
  </si>
  <si>
    <t>Cost Allocations - Rolloff</t>
  </si>
  <si>
    <t>Results of Operations - Staff</t>
  </si>
  <si>
    <t>Results of Operations - Regulated</t>
  </si>
  <si>
    <t>Staff Pro Forma</t>
  </si>
  <si>
    <t>Goes to Hours &amp; Miles</t>
  </si>
  <si>
    <t>Replace Julie</t>
  </si>
  <si>
    <t xml:space="preserve">Douglas </t>
  </si>
  <si>
    <t>Total WUTC Book Depr</t>
  </si>
  <si>
    <t>Less Other equipment</t>
  </si>
  <si>
    <t>DEFERRED CREDITS:</t>
  </si>
  <si>
    <t>Total deferred credits</t>
  </si>
  <si>
    <t>Deferred gain</t>
  </si>
  <si>
    <t>Debt to Equity</t>
  </si>
  <si>
    <t>Employee Salaries</t>
  </si>
  <si>
    <t>Employee Benefits</t>
  </si>
  <si>
    <t>Truck Operating Costs</t>
  </si>
  <si>
    <t>Disposal &amp; Processing</t>
  </si>
  <si>
    <t>Repair &amp; Maintenance</t>
  </si>
  <si>
    <t>Insurance &amp; Safety</t>
  </si>
  <si>
    <t>Selling &amp; Advertising</t>
  </si>
  <si>
    <t>Office and Administration</t>
  </si>
  <si>
    <t>Management Fees</t>
  </si>
  <si>
    <t>Taxes and Licensese</t>
  </si>
  <si>
    <t>Rents</t>
  </si>
  <si>
    <t>Other Expenses</t>
  </si>
  <si>
    <t>depr</t>
  </si>
  <si>
    <t>Per Books if different</t>
  </si>
  <si>
    <t>Staff Depr Changes</t>
  </si>
  <si>
    <t>INSTALL HOOKLIFT ON FORD F450</t>
  </si>
  <si>
    <t>2021 JEEP TRUCK</t>
  </si>
  <si>
    <t>2021 DODGE 5500 W/FLATBED</t>
  </si>
  <si>
    <t>LIFT GATE FOR 2001 FORD FLATBED(ON DODGE NOW)</t>
  </si>
  <si>
    <t>BEAR CONTAINER RETROFITS</t>
  </si>
  <si>
    <t>CONTAINERS 18-2YD</t>
  </si>
  <si>
    <t>TOTE LID LOCKS</t>
  </si>
  <si>
    <t>TOTERS 10-95 GAL BEAR</t>
  </si>
  <si>
    <t>TOTERS 10-65 GAL BEAR</t>
  </si>
  <si>
    <t>TOTERS 500-95 GAL</t>
  </si>
  <si>
    <t>TOTERS 176-65 GAL</t>
  </si>
  <si>
    <t>FLOOR FAN</t>
  </si>
  <si>
    <t xml:space="preserve">HOT PRESSURE WASHER </t>
  </si>
  <si>
    <t>DELL VOSTRO LAPTOP</t>
  </si>
  <si>
    <t>DELL XPS 8940 COMPUTER</t>
  </si>
  <si>
    <t>Utilities-Recycle</t>
  </si>
  <si>
    <t>Gain on sales of assets</t>
  </si>
  <si>
    <t>Utilities-recycle</t>
  </si>
  <si>
    <t>Utitlities-recycle</t>
  </si>
  <si>
    <t>Utiltities-recycle</t>
  </si>
  <si>
    <t>For The Twelve Months Ending December 31, 2021</t>
  </si>
  <si>
    <t>Chance Belmont</t>
  </si>
  <si>
    <t>Chet Belmont</t>
  </si>
  <si>
    <t>Frank Simpson</t>
  </si>
  <si>
    <t>New Rate for 2022</t>
  </si>
  <si>
    <t>2022 proforma amount</t>
  </si>
  <si>
    <t xml:space="preserve"> 10/1/21 thru 12/31/21</t>
  </si>
  <si>
    <t>Ty Miller</t>
  </si>
  <si>
    <t>Raises</t>
  </si>
  <si>
    <t>Total Hours</t>
  </si>
  <si>
    <t>x New Rate</t>
  </si>
  <si>
    <t>Payroll</t>
  </si>
  <si>
    <t>Total yards?</t>
  </si>
  <si>
    <t>YD1B</t>
  </si>
  <si>
    <t>YD2B</t>
  </si>
  <si>
    <t>1 Yard Bear</t>
  </si>
  <si>
    <t>2 Yard Bear</t>
  </si>
  <si>
    <t>2 yard Bear</t>
  </si>
  <si>
    <t>2022</t>
  </si>
  <si>
    <t>2016 Freightliner</t>
  </si>
  <si>
    <t>Current Monthly Dues 11x $540</t>
  </si>
  <si>
    <t>Service Count</t>
  </si>
  <si>
    <t>Average of Percentages - Recycling</t>
  </si>
  <si>
    <t>Commingle</t>
  </si>
  <si>
    <t>Commercial Cardboard</t>
  </si>
  <si>
    <t>??????</t>
  </si>
  <si>
    <t>Not sure what this is for</t>
  </si>
  <si>
    <t>Recycle billing included with regular billing</t>
  </si>
  <si>
    <t>Assets scrapped</t>
  </si>
  <si>
    <t>Gain on equipment sales</t>
  </si>
  <si>
    <t>ok</t>
  </si>
  <si>
    <t>Plug from last year</t>
  </si>
  <si>
    <t>09/30/22</t>
  </si>
  <si>
    <t>For The Twelve Months Ending September 30, 2022</t>
  </si>
  <si>
    <t>101/1/21 -09/30/22</t>
  </si>
  <si>
    <t>10/31/2021 - 9/30/2022</t>
  </si>
  <si>
    <t>10/01/2021 - 9/30/2022</t>
  </si>
  <si>
    <t>2001 Ford Rolloff</t>
  </si>
  <si>
    <t>Container Count - Sept 30</t>
  </si>
  <si>
    <t>10/1/2021 - 9/30/2022</t>
  </si>
  <si>
    <t>Proforma adjustment September 30, 2022</t>
  </si>
  <si>
    <t>Western Truck Center</t>
  </si>
  <si>
    <t xml:space="preserve"> 7/1/22 thru 9/30/22</t>
  </si>
  <si>
    <t xml:space="preserve"> 4/1/22 thru 6/30/22</t>
  </si>
  <si>
    <t xml:space="preserve">  1/1/22 thru 3/31/22</t>
  </si>
  <si>
    <t>Ed Davis</t>
  </si>
  <si>
    <t>Eric Straub</t>
  </si>
  <si>
    <t>Cory Howe</t>
  </si>
  <si>
    <t>David Suess</t>
  </si>
  <si>
    <t xml:space="preserve">Rolloff </t>
  </si>
  <si>
    <t>Less 21-22</t>
  </si>
  <si>
    <t xml:space="preserve"> October 1 - September 30, 2022</t>
  </si>
  <si>
    <t>10/1/21 - 9/30/22</t>
  </si>
  <si>
    <t xml:space="preserve">  October 1 - September 30, 2022</t>
  </si>
  <si>
    <t>12 Months Ended September 30, 2022</t>
  </si>
  <si>
    <t>For the Twelve Months Ended September 30, 2022</t>
  </si>
  <si>
    <t>For the twelve months ending September 30, 2022</t>
  </si>
  <si>
    <t>Erick Straub</t>
  </si>
  <si>
    <t>2021-22 Chelan Transfer Station Yardage:</t>
  </si>
  <si>
    <t>Rate per yard beginning 10/1/2022</t>
  </si>
  <si>
    <t>2022-23 Proforma disposal fees</t>
  </si>
  <si>
    <t>October 2021</t>
  </si>
  <si>
    <t>November 2021</t>
  </si>
  <si>
    <t>December 2021</t>
  </si>
  <si>
    <t>November  2021</t>
  </si>
  <si>
    <t>2022-23 disposal fees</t>
  </si>
  <si>
    <t>(9/30 Count)</t>
  </si>
  <si>
    <t>2021-22</t>
  </si>
  <si>
    <t xml:space="preserve">  October 2021 - September 2022</t>
  </si>
  <si>
    <t>9/30/2022</t>
  </si>
  <si>
    <t>2022 FORD F750 W/11YD QUANTUM</t>
  </si>
  <si>
    <t>CONTAINERS 24-1YD</t>
  </si>
  <si>
    <t>CONTAINERS 6-4YD</t>
  </si>
  <si>
    <t>NOREGON SYSTEMS DIAGNOSTIC SYSTEM</t>
  </si>
  <si>
    <t>September 30, 2022</t>
  </si>
  <si>
    <t>Commingled Bales on hand at 9/30/22</t>
  </si>
  <si>
    <t>3/12</t>
  </si>
  <si>
    <t>Percent Increase</t>
  </si>
  <si>
    <t>For The Twelve Months Ending September 30,2022</t>
  </si>
  <si>
    <t>Total # of Customers By County:</t>
  </si>
  <si>
    <t>Remove processing costs from pre 10/21/21 collection</t>
  </si>
  <si>
    <t>Notes payable-Bell Bank</t>
  </si>
  <si>
    <t>Prior year</t>
  </si>
  <si>
    <t>10/1/21 -9/30/22</t>
  </si>
  <si>
    <t>zippy/wutc/ratecases/2023/</t>
  </si>
  <si>
    <t>Difference due to delayed cash receipts from City customers and standbys</t>
  </si>
  <si>
    <t>Deferred gain 9/30/22</t>
  </si>
  <si>
    <t>Twelve Months</t>
  </si>
  <si>
    <t>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</si>
</sst>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\(0.00\)"/>
    <numFmt numFmtId="166" formatCode="#,##0.0000_);\(#,##0.0000\)"/>
    <numFmt numFmtId="167" formatCode="0_)"/>
    <numFmt numFmtId="168" formatCode="#,##0.000_);\(#,##0.000\)"/>
    <numFmt numFmtId="169" formatCode="0.0000%"/>
    <numFmt numFmtId="170" formatCode="#,##0.000000_);\(#,##0.000000\)"/>
    <numFmt numFmtId="171" formatCode="&quot;$&quot;#,##0.00"/>
    <numFmt numFmtId="172" formatCode="0.0"/>
    <numFmt numFmtId="173" formatCode="0.00000"/>
    <numFmt numFmtId="174" formatCode="0.0000"/>
    <numFmt numFmtId="175" formatCode="0.000"/>
    <numFmt numFmtId="176" formatCode="_(* #,##0.00_);_(* \(#,##0.00\);_(* &quot;-&quot;_);_(@_)"/>
    <numFmt numFmtId="177" formatCode="0.000%"/>
    <numFmt numFmtId="178" formatCode="_(* #,##0_);_(* \(#,##0\);_(* &quot;-&quot;??_);_(@_)"/>
    <numFmt numFmtId="179" formatCode="_(* #,##0.000_);_(* \(#,##0.000\);_(* &quot;-&quot;??_);_(@_)"/>
    <numFmt numFmtId="180" formatCode="_(&quot;$&quot;* #,##0_);_(&quot;$&quot;* \(#,##0\);_(&quot;$&quot;* &quot;-&quot;??_);_(@_)"/>
    <numFmt numFmtId="181" formatCode="0.00000%"/>
    <numFmt numFmtId="182" formatCode="#,##0.00;[Red]#,##0.00"/>
    <numFmt numFmtId="183" formatCode="0.00_);[Red]\(0.00\)"/>
    <numFmt numFmtId="184" formatCode="#,##0.0_);\(#,##0.0\)"/>
    <numFmt numFmtId="185" formatCode="&quot;$&quot;#,##0"/>
    <numFmt numFmtId="186" formatCode="#,##0.00000_);\(#,##0.00000\)"/>
  </numFmts>
  <fonts count="63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6"/>
      <name val="Arial"/>
      <family val="2"/>
    </font>
    <font>
      <sz val="10"/>
      <color indexed="11"/>
      <name val="Arial"/>
      <family val="2"/>
    </font>
    <font>
      <sz val="10"/>
      <name val="Times New Roman"/>
      <family val="1"/>
    </font>
    <font>
      <sz val="12"/>
      <name val="SWISS"/>
    </font>
    <font>
      <sz val="10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17"/>
      <name val="Arial"/>
      <family val="2"/>
    </font>
    <font>
      <sz val="14"/>
      <name val="Arial"/>
      <family val="2"/>
    </font>
    <font>
      <sz val="12"/>
      <name val="Helv"/>
    </font>
    <font>
      <sz val="12"/>
      <color indexed="10"/>
      <name val="Helv"/>
    </font>
    <font>
      <sz val="14"/>
      <color indexed="10"/>
      <name val="Helv"/>
    </font>
    <font>
      <sz val="12"/>
      <name val="Arial"/>
      <family val="2"/>
    </font>
    <font>
      <b/>
      <sz val="12"/>
      <name val="Arial"/>
      <family val="2"/>
    </font>
    <font>
      <b/>
      <sz val="12"/>
      <name val="Helv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sz val="10"/>
      <color theme="5" tint="-0.249977111117893"/>
      <name val="Arial"/>
      <family val="2"/>
    </font>
    <font>
      <b/>
      <sz val="10"/>
      <color theme="9" tint="-0.499984740745262"/>
      <name val="Arial"/>
      <family val="2"/>
    </font>
    <font>
      <sz val="11"/>
      <color theme="0"/>
      <name val="Calibri"/>
      <family val="2"/>
      <scheme val="minor"/>
    </font>
    <font>
      <sz val="11"/>
      <name val="Times New Roman"/>
      <family val="1"/>
    </font>
    <font>
      <sz val="10"/>
      <color indexed="18"/>
      <name val="Times New Roman"/>
      <family val="1"/>
    </font>
    <font>
      <sz val="10"/>
      <color indexed="39"/>
      <name val="Times New Roman"/>
      <family val="1"/>
    </font>
    <font>
      <sz val="12"/>
      <color indexed="18"/>
      <name val="SWISS"/>
    </font>
    <font>
      <sz val="12"/>
      <color indexed="56"/>
      <name val="SWISS"/>
    </font>
    <font>
      <i/>
      <sz val="12"/>
      <name val="SWISS"/>
    </font>
    <font>
      <b/>
      <sz val="10"/>
      <name val="SWISS"/>
    </font>
    <font>
      <b/>
      <sz val="12"/>
      <name val="SWISS"/>
    </font>
    <font>
      <sz val="12"/>
      <color indexed="32"/>
      <name val="SWISS"/>
    </font>
    <font>
      <sz val="12"/>
      <name val="Times New Roman"/>
      <family val="1"/>
    </font>
    <font>
      <sz val="12"/>
      <color indexed="39"/>
      <name val="Times New Roman"/>
      <family val="1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39"/>
      <name val="Times New Roman"/>
      <family val="1"/>
    </font>
    <font>
      <u/>
      <sz val="12"/>
      <color indexed="8"/>
      <name val="Times New Roman"/>
      <family val="1"/>
    </font>
    <font>
      <b/>
      <u/>
      <sz val="12"/>
      <color indexed="39"/>
      <name val="Times New Roman"/>
      <family val="1"/>
    </font>
    <font>
      <sz val="12"/>
      <color indexed="10"/>
      <name val="SWISS"/>
    </font>
    <font>
      <sz val="12"/>
      <color indexed="8"/>
      <name val="SWISS"/>
    </font>
    <font>
      <u/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9"/>
      <color indexed="39"/>
      <name val="Times New Roman"/>
      <family val="1"/>
    </font>
    <font>
      <sz val="12"/>
      <color indexed="39"/>
      <name val="SWISS"/>
    </font>
    <font>
      <sz val="14"/>
      <color indexed="9"/>
      <name val="Calibri"/>
      <family val="2"/>
    </font>
    <font>
      <sz val="9"/>
      <color rgb="FF0070C0"/>
      <name val="SWISS"/>
    </font>
    <font>
      <b/>
      <sz val="14"/>
      <name val="SWISS"/>
    </font>
    <font>
      <sz val="8"/>
      <color indexed="9"/>
      <name val="Calibri"/>
      <family val="2"/>
    </font>
    <font>
      <sz val="12"/>
      <color indexed="12"/>
      <name val="SWISS"/>
    </font>
    <font>
      <b/>
      <sz val="14"/>
      <name val="Arial"/>
      <family val="2"/>
    </font>
    <font>
      <sz val="10"/>
      <color theme="9" tint="-0.499984740745262"/>
      <name val="Arial"/>
      <family val="2"/>
    </font>
    <font>
      <sz val="12"/>
      <color rgb="FFFF0000"/>
      <name val="Helv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1" fontId="8" fillId="3" borderId="0">
      <alignment horizontal="left"/>
    </xf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9" fillId="2" borderId="0"/>
    <xf numFmtId="0" fontId="19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0" fillId="13" borderId="0" applyNumberFormat="0" applyBorder="0" applyAlignment="0" applyProtection="0"/>
    <xf numFmtId="10" fontId="8" fillId="3" borderId="0"/>
  </cellStyleXfs>
  <cellXfs count="788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39" fontId="0" fillId="0" borderId="0" xfId="0" applyNumberFormat="1"/>
    <xf numFmtId="39" fontId="0" fillId="0" borderId="2" xfId="0" applyNumberFormat="1" applyBorder="1"/>
    <xf numFmtId="39" fontId="0" fillId="0" borderId="3" xfId="0" applyNumberFormat="1" applyBorder="1"/>
    <xf numFmtId="0" fontId="0" fillId="0" borderId="1" xfId="0" applyBorder="1"/>
    <xf numFmtId="10" fontId="0" fillId="0" borderId="0" xfId="0" applyNumberFormat="1"/>
    <xf numFmtId="164" fontId="0" fillId="0" borderId="0" xfId="0" applyNumberFormat="1"/>
    <xf numFmtId="164" fontId="0" fillId="0" borderId="2" xfId="0" applyNumberFormat="1" applyBorder="1"/>
    <xf numFmtId="0" fontId="0" fillId="0" borderId="3" xfId="0" applyBorder="1"/>
    <xf numFmtId="164" fontId="0" fillId="0" borderId="3" xfId="0" applyNumberFormat="1" applyBorder="1"/>
    <xf numFmtId="164" fontId="2" fillId="0" borderId="0" xfId="0" applyNumberFormat="1" applyFont="1"/>
    <xf numFmtId="0" fontId="0" fillId="0" borderId="0" xfId="0" applyAlignment="1">
      <alignment horizontal="left"/>
    </xf>
    <xf numFmtId="40" fontId="0" fillId="0" borderId="0" xfId="0" applyNumberFormat="1"/>
    <xf numFmtId="0" fontId="0" fillId="0" borderId="0" xfId="0" applyBorder="1"/>
    <xf numFmtId="40" fontId="0" fillId="0" borderId="4" xfId="0" applyNumberFormat="1" applyBorder="1"/>
    <xf numFmtId="0" fontId="0" fillId="0" borderId="2" xfId="0" applyBorder="1" applyAlignment="1">
      <alignment horizontal="center"/>
    </xf>
    <xf numFmtId="40" fontId="0" fillId="0" borderId="3" xfId="0" applyNumberFormat="1" applyBorder="1"/>
    <xf numFmtId="38" fontId="0" fillId="0" borderId="0" xfId="0" applyNumberFormat="1"/>
    <xf numFmtId="38" fontId="0" fillId="0" borderId="4" xfId="0" applyNumberFormat="1" applyBorder="1"/>
    <xf numFmtId="38" fontId="0" fillId="0" borderId="3" xfId="0" applyNumberFormat="1" applyBorder="1"/>
    <xf numFmtId="164" fontId="2" fillId="0" borderId="2" xfId="0" applyNumberFormat="1" applyFont="1" applyBorder="1"/>
    <xf numFmtId="164" fontId="3" fillId="0" borderId="0" xfId="0" applyNumberFormat="1" applyFont="1"/>
    <xf numFmtId="164" fontId="4" fillId="0" borderId="0" xfId="0" applyNumberFormat="1" applyFont="1"/>
    <xf numFmtId="5" fontId="0" fillId="0" borderId="0" xfId="0" applyNumberFormat="1" applyProtection="1"/>
    <xf numFmtId="10" fontId="0" fillId="0" borderId="0" xfId="0" applyNumberFormat="1" applyProtection="1"/>
    <xf numFmtId="37" fontId="0" fillId="0" borderId="0" xfId="0" applyNumberFormat="1" applyProtection="1"/>
    <xf numFmtId="39" fontId="0" fillId="0" borderId="0" xfId="0" applyNumberFormat="1" applyProtection="1"/>
    <xf numFmtId="166" fontId="0" fillId="0" borderId="0" xfId="0" applyNumberFormat="1" applyProtection="1"/>
    <xf numFmtId="167" fontId="0" fillId="0" borderId="0" xfId="0" applyNumberFormat="1" applyAlignment="1" applyProtection="1">
      <alignment horizontal="left"/>
    </xf>
    <xf numFmtId="0" fontId="0" fillId="0" borderId="0" xfId="0" applyAlignment="1">
      <alignment horizontal="right"/>
    </xf>
    <xf numFmtId="168" fontId="0" fillId="0" borderId="0" xfId="0" applyNumberFormat="1" applyProtection="1"/>
    <xf numFmtId="169" fontId="0" fillId="0" borderId="0" xfId="0" applyNumberFormat="1" applyProtection="1"/>
    <xf numFmtId="0" fontId="0" fillId="0" borderId="0" xfId="0" applyAlignment="1">
      <alignment horizontal="fill"/>
    </xf>
    <xf numFmtId="170" fontId="0" fillId="0" borderId="0" xfId="0" applyNumberFormat="1" applyProtection="1"/>
    <xf numFmtId="9" fontId="0" fillId="0" borderId="0" xfId="0" applyNumberFormat="1" applyProtection="1"/>
    <xf numFmtId="9" fontId="2" fillId="0" borderId="0" xfId="0" applyNumberFormat="1" applyFont="1" applyProtection="1"/>
    <xf numFmtId="10" fontId="2" fillId="0" borderId="0" xfId="0" applyNumberFormat="1" applyFont="1" applyProtection="1"/>
    <xf numFmtId="10" fontId="0" fillId="0" borderId="4" xfId="0" applyNumberFormat="1" applyBorder="1"/>
    <xf numFmtId="39" fontId="0" fillId="0" borderId="4" xfId="0" applyNumberFormat="1" applyBorder="1"/>
    <xf numFmtId="39" fontId="2" fillId="0" borderId="4" xfId="0" applyNumberFormat="1" applyFont="1" applyBorder="1"/>
    <xf numFmtId="39" fontId="0" fillId="0" borderId="5" xfId="0" applyNumberFormat="1" applyBorder="1"/>
    <xf numFmtId="168" fontId="2" fillId="0" borderId="0" xfId="0" applyNumberFormat="1" applyFont="1" applyProtection="1"/>
    <xf numFmtId="43" fontId="0" fillId="0" borderId="0" xfId="0" applyNumberFormat="1"/>
    <xf numFmtId="39" fontId="2" fillId="0" borderId="2" xfId="0" applyNumberFormat="1" applyFont="1" applyBorder="1"/>
    <xf numFmtId="39" fontId="4" fillId="0" borderId="3" xfId="0" applyNumberFormat="1" applyFont="1" applyBorder="1"/>
    <xf numFmtId="39" fontId="4" fillId="0" borderId="0" xfId="0" applyNumberFormat="1" applyFont="1"/>
    <xf numFmtId="10" fontId="4" fillId="0" borderId="0" xfId="0" applyNumberFormat="1" applyFont="1"/>
    <xf numFmtId="8" fontId="0" fillId="0" borderId="0" xfId="0" applyNumberFormat="1"/>
    <xf numFmtId="4" fontId="0" fillId="0" borderId="0" xfId="0" applyNumberFormat="1"/>
    <xf numFmtId="14" fontId="0" fillId="0" borderId="0" xfId="0" applyNumberFormat="1" applyAlignment="1">
      <alignment horizontal="center"/>
    </xf>
    <xf numFmtId="14" fontId="0" fillId="0" borderId="0" xfId="0" quotePrefix="1" applyNumberFormat="1"/>
    <xf numFmtId="7" fontId="0" fillId="0" borderId="0" xfId="0" applyNumberFormat="1"/>
    <xf numFmtId="4" fontId="0" fillId="0" borderId="4" xfId="0" applyNumberFormat="1" applyBorder="1"/>
    <xf numFmtId="9" fontId="0" fillId="0" borderId="0" xfId="8" applyFont="1"/>
    <xf numFmtId="8" fontId="0" fillId="0" borderId="3" xfId="0" applyNumberFormat="1" applyBorder="1"/>
    <xf numFmtId="44" fontId="0" fillId="0" borderId="0" xfId="4" applyNumberFormat="1" applyFont="1" applyAlignment="1"/>
    <xf numFmtId="43" fontId="0" fillId="0" borderId="0" xfId="0" applyNumberFormat="1" applyAlignment="1"/>
    <xf numFmtId="43" fontId="0" fillId="0" borderId="4" xfId="0" applyNumberFormat="1" applyBorder="1"/>
    <xf numFmtId="171" fontId="0" fillId="0" borderId="0" xfId="0" applyNumberFormat="1"/>
    <xf numFmtId="171" fontId="0" fillId="0" borderId="5" xfId="0" applyNumberFormat="1" applyBorder="1"/>
    <xf numFmtId="0" fontId="5" fillId="0" borderId="0" xfId="0" applyFont="1"/>
    <xf numFmtId="4" fontId="5" fillId="0" borderId="0" xfId="0" applyNumberFormat="1" applyFont="1"/>
    <xf numFmtId="7" fontId="5" fillId="0" borderId="0" xfId="0" applyNumberFormat="1" applyFont="1"/>
    <xf numFmtId="0" fontId="0" fillId="0" borderId="0" xfId="0" applyFill="1" applyBorder="1" applyAlignment="1">
      <alignment horizontal="left"/>
    </xf>
    <xf numFmtId="7" fontId="0" fillId="0" borderId="2" xfId="0" applyNumberFormat="1" applyBorder="1"/>
    <xf numFmtId="0" fontId="6" fillId="0" borderId="0" xfId="0" applyFont="1"/>
    <xf numFmtId="0" fontId="7" fillId="0" borderId="0" xfId="0" applyFont="1"/>
    <xf numFmtId="44" fontId="0" fillId="0" borderId="0" xfId="4" applyFont="1"/>
    <xf numFmtId="44" fontId="0" fillId="0" borderId="0" xfId="0" applyNumberFormat="1"/>
    <xf numFmtId="10" fontId="0" fillId="0" borderId="4" xfId="0" applyNumberFormat="1" applyFill="1" applyBorder="1"/>
    <xf numFmtId="171" fontId="0" fillId="0" borderId="0" xfId="4" applyNumberFormat="1" applyFont="1" applyAlignment="1">
      <alignment horizontal="right"/>
    </xf>
    <xf numFmtId="0" fontId="0" fillId="0" borderId="4" xfId="0" applyBorder="1"/>
    <xf numFmtId="170" fontId="2" fillId="0" borderId="0" xfId="0" applyNumberFormat="1" applyFont="1" applyProtection="1"/>
    <xf numFmtId="44" fontId="5" fillId="0" borderId="0" xfId="0" applyNumberFormat="1" applyFont="1"/>
    <xf numFmtId="43" fontId="0" fillId="0" borderId="0" xfId="1" applyFont="1"/>
    <xf numFmtId="43" fontId="0" fillId="0" borderId="4" xfId="1" applyFont="1" applyBorder="1"/>
    <xf numFmtId="8" fontId="5" fillId="0" borderId="0" xfId="0" applyNumberFormat="1" applyFont="1"/>
    <xf numFmtId="39" fontId="0" fillId="0" borderId="0" xfId="0" applyNumberFormat="1" applyBorder="1"/>
    <xf numFmtId="0" fontId="3" fillId="0" borderId="0" xfId="0" applyFont="1"/>
    <xf numFmtId="2" fontId="0" fillId="0" borderId="0" xfId="0" applyNumberFormat="1"/>
    <xf numFmtId="2" fontId="0" fillId="0" borderId="4" xfId="0" applyNumberFormat="1" applyBorder="1"/>
    <xf numFmtId="38" fontId="0" fillId="0" borderId="0" xfId="0" applyNumberFormat="1" applyBorder="1"/>
    <xf numFmtId="39" fontId="3" fillId="0" borderId="0" xfId="0" applyNumberFormat="1" applyFont="1"/>
    <xf numFmtId="164" fontId="27" fillId="0" borderId="0" xfId="0" applyNumberFormat="1" applyFont="1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8" applyNumberFormat="1" applyFont="1"/>
    <xf numFmtId="164" fontId="3" fillId="0" borderId="0" xfId="8" applyNumberFormat="1" applyFont="1"/>
    <xf numFmtId="164" fontId="0" fillId="0" borderId="0" xfId="0" applyNumberFormat="1" applyBorder="1"/>
    <xf numFmtId="164" fontId="3" fillId="0" borderId="0" xfId="0" applyNumberFormat="1" applyFont="1" applyBorder="1"/>
    <xf numFmtId="171" fontId="0" fillId="0" borderId="0" xfId="1" applyNumberFormat="1" applyFont="1"/>
    <xf numFmtId="41" fontId="0" fillId="0" borderId="0" xfId="0" applyNumberFormat="1"/>
    <xf numFmtId="176" fontId="0" fillId="0" borderId="0" xfId="0" applyNumberFormat="1"/>
    <xf numFmtId="10" fontId="0" fillId="0" borderId="0" xfId="8" applyNumberFormat="1" applyFont="1"/>
    <xf numFmtId="43" fontId="3" fillId="0" borderId="0" xfId="0" applyNumberFormat="1" applyFont="1"/>
    <xf numFmtId="44" fontId="0" fillId="0" borderId="2" xfId="0" applyNumberFormat="1" applyBorder="1"/>
    <xf numFmtId="164" fontId="27" fillId="0" borderId="2" xfId="0" applyNumberFormat="1" applyFont="1" applyBorder="1"/>
    <xf numFmtId="164" fontId="3" fillId="0" borderId="2" xfId="0" applyNumberFormat="1" applyFont="1" applyBorder="1"/>
    <xf numFmtId="164" fontId="0" fillId="6" borderId="0" xfId="0" applyNumberFormat="1" applyFill="1"/>
    <xf numFmtId="178" fontId="0" fillId="0" borderId="0" xfId="1" applyNumberFormat="1" applyFont="1"/>
    <xf numFmtId="164" fontId="3" fillId="6" borderId="0" xfId="0" applyNumberFormat="1" applyFont="1" applyFill="1"/>
    <xf numFmtId="0" fontId="3" fillId="0" borderId="0" xfId="0" quotePrefix="1" applyFont="1"/>
    <xf numFmtId="39" fontId="3" fillId="6" borderId="0" xfId="0" applyNumberFormat="1" applyFont="1" applyFill="1"/>
    <xf numFmtId="0" fontId="3" fillId="6" borderId="0" xfId="0" applyFont="1" applyFill="1"/>
    <xf numFmtId="180" fontId="0" fillId="0" borderId="0" xfId="4" applyNumberFormat="1" applyFont="1"/>
    <xf numFmtId="180" fontId="0" fillId="0" borderId="2" xfId="4" applyNumberFormat="1" applyFont="1" applyBorder="1"/>
    <xf numFmtId="180" fontId="4" fillId="0" borderId="0" xfId="4" applyNumberFormat="1" applyFont="1"/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180" fontId="0" fillId="0" borderId="6" xfId="4" applyNumberFormat="1" applyFont="1" applyBorder="1"/>
    <xf numFmtId="180" fontId="0" fillId="0" borderId="8" xfId="4" applyNumberFormat="1" applyFont="1" applyBorder="1"/>
    <xf numFmtId="39" fontId="0" fillId="0" borderId="6" xfId="0" applyNumberFormat="1" applyBorder="1"/>
    <xf numFmtId="37" fontId="0" fillId="0" borderId="0" xfId="0" applyNumberFormat="1"/>
    <xf numFmtId="172" fontId="0" fillId="0" borderId="0" xfId="0" applyNumberFormat="1"/>
    <xf numFmtId="177" fontId="11" fillId="0" borderId="0" xfId="9" applyNumberFormat="1" applyFont="1"/>
    <xf numFmtId="10" fontId="11" fillId="0" borderId="0" xfId="0" applyNumberFormat="1" applyFont="1"/>
    <xf numFmtId="44" fontId="11" fillId="0" borderId="0" xfId="5" applyFont="1"/>
    <xf numFmtId="0" fontId="11" fillId="0" borderId="0" xfId="0" applyFont="1"/>
    <xf numFmtId="0" fontId="0" fillId="0" borderId="0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2" xfId="0" quotePrefix="1" applyBorder="1"/>
    <xf numFmtId="10" fontId="2" fillId="0" borderId="0" xfId="9" applyNumberFormat="1" applyFont="1"/>
    <xf numFmtId="10" fontId="0" fillId="0" borderId="0" xfId="9" applyNumberFormat="1" applyFont="1"/>
    <xf numFmtId="5" fontId="0" fillId="0" borderId="0" xfId="0" applyNumberFormat="1"/>
    <xf numFmtId="169" fontId="0" fillId="0" borderId="0" xfId="0" applyNumberFormat="1"/>
    <xf numFmtId="181" fontId="11" fillId="0" borderId="0" xfId="9" applyNumberFormat="1" applyFont="1"/>
    <xf numFmtId="171" fontId="11" fillId="0" borderId="0" xfId="0" applyNumberFormat="1" applyFont="1"/>
    <xf numFmtId="0" fontId="0" fillId="0" borderId="17" xfId="0" applyBorder="1"/>
    <xf numFmtId="10" fontId="0" fillId="0" borderId="6" xfId="0" applyNumberFormat="1" applyBorder="1"/>
    <xf numFmtId="39" fontId="0" fillId="0" borderId="17" xfId="0" applyNumberFormat="1" applyBorder="1"/>
    <xf numFmtId="4" fontId="0" fillId="0" borderId="6" xfId="0" applyNumberFormat="1" applyBorder="1"/>
    <xf numFmtId="10" fontId="0" fillId="0" borderId="17" xfId="0" applyNumberFormat="1" applyBorder="1"/>
    <xf numFmtId="39" fontId="0" fillId="0" borderId="18" xfId="0" applyNumberFormat="1" applyBorder="1"/>
    <xf numFmtId="39" fontId="0" fillId="0" borderId="8" xfId="0" applyNumberFormat="1" applyBorder="1"/>
    <xf numFmtId="39" fontId="0" fillId="7" borderId="2" xfId="0" applyNumberFormat="1" applyFill="1" applyBorder="1"/>
    <xf numFmtId="0" fontId="0" fillId="0" borderId="19" xfId="0" applyBorder="1"/>
    <xf numFmtId="0" fontId="0" fillId="0" borderId="20" xfId="0" applyBorder="1"/>
    <xf numFmtId="181" fontId="2" fillId="0" borderId="0" xfId="0" applyNumberFormat="1" applyFont="1"/>
    <xf numFmtId="174" fontId="2" fillId="0" borderId="0" xfId="9" applyNumberFormat="1" applyFont="1"/>
    <xf numFmtId="174" fontId="2" fillId="0" borderId="0" xfId="0" applyNumberFormat="1" applyFont="1"/>
    <xf numFmtId="0" fontId="27" fillId="0" borderId="0" xfId="0" applyFont="1"/>
    <xf numFmtId="39" fontId="27" fillId="0" borderId="0" xfId="0" applyNumberFormat="1" applyFont="1"/>
    <xf numFmtId="0" fontId="3" fillId="0" borderId="0" xfId="0" applyFont="1" applyAlignment="1">
      <alignment horizontal="left"/>
    </xf>
    <xf numFmtId="43" fontId="0" fillId="0" borderId="3" xfId="0" applyNumberFormat="1" applyBorder="1"/>
    <xf numFmtId="164" fontId="0" fillId="0" borderId="4" xfId="0" applyNumberFormat="1" applyBorder="1"/>
    <xf numFmtId="41" fontId="0" fillId="0" borderId="3" xfId="0" applyNumberFormat="1" applyBorder="1"/>
    <xf numFmtId="41" fontId="3" fillId="0" borderId="4" xfId="0" applyNumberFormat="1" applyFont="1" applyBorder="1"/>
    <xf numFmtId="41" fontId="3" fillId="0" borderId="0" xfId="0" applyNumberFormat="1" applyFont="1"/>
    <xf numFmtId="37" fontId="0" fillId="0" borderId="3" xfId="0" applyNumberFormat="1" applyBorder="1"/>
    <xf numFmtId="37" fontId="0" fillId="0" borderId="4" xfId="0" applyNumberFormat="1" applyBorder="1"/>
    <xf numFmtId="10" fontId="0" fillId="0" borderId="21" xfId="0" applyNumberFormat="1" applyBorder="1"/>
    <xf numFmtId="164" fontId="0" fillId="0" borderId="21" xfId="0" applyNumberFormat="1" applyBorder="1"/>
    <xf numFmtId="10" fontId="0" fillId="0" borderId="22" xfId="0" applyNumberFormat="1" applyBorder="1"/>
    <xf numFmtId="10" fontId="0" fillId="0" borderId="0" xfId="0" applyNumberFormat="1" applyBorder="1"/>
    <xf numFmtId="164" fontId="0" fillId="0" borderId="4" xfId="0" applyNumberFormat="1" applyFill="1" applyBorder="1"/>
    <xf numFmtId="14" fontId="0" fillId="0" borderId="0" xfId="0" applyNumberFormat="1"/>
    <xf numFmtId="39" fontId="3" fillId="0" borderId="2" xfId="0" applyNumberFormat="1" applyFont="1" applyBorder="1"/>
    <xf numFmtId="37" fontId="0" fillId="0" borderId="2" xfId="0" applyNumberFormat="1" applyBorder="1"/>
    <xf numFmtId="37" fontId="3" fillId="0" borderId="2" xfId="0" applyNumberFormat="1" applyFont="1" applyBorder="1"/>
    <xf numFmtId="37" fontId="3" fillId="0" borderId="0" xfId="0" applyNumberFormat="1" applyFont="1"/>
    <xf numFmtId="7" fontId="0" fillId="0" borderId="3" xfId="0" applyNumberFormat="1" applyBorder="1"/>
    <xf numFmtId="7" fontId="0" fillId="0" borderId="11" xfId="0" applyNumberFormat="1" applyBorder="1"/>
    <xf numFmtId="39" fontId="0" fillId="0" borderId="12" xfId="0" applyNumberFormat="1" applyBorder="1"/>
    <xf numFmtId="0" fontId="0" fillId="0" borderId="11" xfId="0" applyBorder="1"/>
    <xf numFmtId="0" fontId="0" fillId="0" borderId="12" xfId="0" applyBorder="1"/>
    <xf numFmtId="39" fontId="0" fillId="0" borderId="9" xfId="0" applyNumberFormat="1" applyBorder="1"/>
    <xf numFmtId="37" fontId="0" fillId="0" borderId="10" xfId="0" applyNumberFormat="1" applyBorder="1"/>
    <xf numFmtId="7" fontId="2" fillId="0" borderId="0" xfId="0" applyNumberFormat="1" applyFont="1"/>
    <xf numFmtId="39" fontId="0" fillId="0" borderId="11" xfId="0" applyNumberFormat="1" applyBorder="1"/>
    <xf numFmtId="37" fontId="0" fillId="0" borderId="12" xfId="0" applyNumberFormat="1" applyBorder="1"/>
    <xf numFmtId="10" fontId="0" fillId="0" borderId="11" xfId="0" applyNumberFormat="1" applyBorder="1"/>
    <xf numFmtId="7" fontId="0" fillId="0" borderId="4" xfId="0" applyNumberFormat="1" applyBorder="1"/>
    <xf numFmtId="171" fontId="0" fillId="0" borderId="11" xfId="0" applyNumberFormat="1" applyBorder="1"/>
    <xf numFmtId="37" fontId="0" fillId="0" borderId="15" xfId="0" applyNumberFormat="1" applyBorder="1"/>
    <xf numFmtId="0" fontId="0" fillId="0" borderId="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2" fontId="3" fillId="6" borderId="0" xfId="0" applyNumberFormat="1" applyFont="1" applyFill="1"/>
    <xf numFmtId="0" fontId="0" fillId="6" borderId="0" xfId="0" applyFill="1"/>
    <xf numFmtId="4" fontId="0" fillId="6" borderId="0" xfId="0" applyNumberFormat="1" applyFill="1"/>
    <xf numFmtId="4" fontId="0" fillId="6" borderId="0" xfId="0" applyNumberFormat="1" applyFill="1" applyBorder="1"/>
    <xf numFmtId="4" fontId="0" fillId="6" borderId="4" xfId="0" applyNumberFormat="1" applyFill="1" applyBorder="1"/>
    <xf numFmtId="3" fontId="0" fillId="0" borderId="0" xfId="0" applyNumberFormat="1"/>
    <xf numFmtId="0" fontId="0" fillId="6" borderId="4" xfId="0" applyFill="1" applyBorder="1"/>
    <xf numFmtId="2" fontId="0" fillId="6" borderId="0" xfId="0" applyNumberFormat="1" applyFill="1"/>
    <xf numFmtId="3" fontId="0" fillId="0" borderId="4" xfId="0" applyNumberFormat="1" applyBorder="1"/>
    <xf numFmtId="3" fontId="0" fillId="6" borderId="0" xfId="0" applyNumberFormat="1" applyFill="1"/>
    <xf numFmtId="14" fontId="12" fillId="6" borderId="0" xfId="0" quotePrefix="1" applyNumberFormat="1" applyFont="1" applyFill="1" applyAlignment="1">
      <alignment horizontal="right"/>
    </xf>
    <xf numFmtId="0" fontId="12" fillId="6" borderId="0" xfId="0" applyFont="1" applyFill="1" applyAlignment="1">
      <alignment horizontal="right"/>
    </xf>
    <xf numFmtId="0" fontId="0" fillId="6" borderId="4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14" fontId="0" fillId="6" borderId="0" xfId="0" quotePrefix="1" applyNumberFormat="1" applyFill="1" applyAlignment="1">
      <alignment horizontal="center"/>
    </xf>
    <xf numFmtId="0" fontId="0" fillId="6" borderId="0" xfId="0" applyFill="1" applyAlignment="1">
      <alignment horizontal="center"/>
    </xf>
    <xf numFmtId="7" fontId="4" fillId="0" borderId="3" xfId="0" applyNumberFormat="1" applyFont="1" applyBorder="1"/>
    <xf numFmtId="0" fontId="4" fillId="0" borderId="0" xfId="0" applyFont="1"/>
    <xf numFmtId="182" fontId="0" fillId="0" borderId="0" xfId="0" applyNumberFormat="1"/>
    <xf numFmtId="39" fontId="4" fillId="0" borderId="2" xfId="0" applyNumberFormat="1" applyFont="1" applyBorder="1"/>
    <xf numFmtId="182" fontId="4" fillId="0" borderId="0" xfId="0" applyNumberFormat="1" applyFont="1"/>
    <xf numFmtId="173" fontId="2" fillId="0" borderId="0" xfId="0" applyNumberFormat="1" applyFont="1"/>
    <xf numFmtId="173" fontId="0" fillId="0" borderId="0" xfId="0" applyNumberFormat="1"/>
    <xf numFmtId="182" fontId="0" fillId="0" borderId="3" xfId="0" applyNumberFormat="1" applyBorder="1"/>
    <xf numFmtId="183" fontId="10" fillId="0" borderId="0" xfId="0" applyNumberFormat="1" applyFont="1"/>
    <xf numFmtId="4" fontId="2" fillId="0" borderId="0" xfId="0" applyNumberFormat="1" applyFont="1"/>
    <xf numFmtId="3" fontId="2" fillId="0" borderId="0" xfId="0" applyNumberFormat="1" applyFont="1"/>
    <xf numFmtId="14" fontId="3" fillId="0" borderId="0" xfId="0" applyNumberFormat="1" applyFont="1"/>
    <xf numFmtId="0" fontId="0" fillId="0" borderId="0" xfId="0" quotePrefix="1" applyAlignment="1">
      <alignment horizontal="left"/>
    </xf>
    <xf numFmtId="171" fontId="0" fillId="0" borderId="3" xfId="0" applyNumberFormat="1" applyBorder="1"/>
    <xf numFmtId="4" fontId="0" fillId="0" borderId="2" xfId="0" applyNumberFormat="1" applyBorder="1"/>
    <xf numFmtId="4" fontId="2" fillId="0" borderId="2" xfId="0" applyNumberFormat="1" applyFont="1" applyBorder="1"/>
    <xf numFmtId="171" fontId="0" fillId="0" borderId="0" xfId="0" applyNumberFormat="1" applyBorder="1"/>
    <xf numFmtId="171" fontId="0" fillId="0" borderId="4" xfId="0" applyNumberFormat="1" applyBorder="1"/>
    <xf numFmtId="171" fontId="2" fillId="0" borderId="4" xfId="0" applyNumberFormat="1" applyFont="1" applyBorder="1"/>
    <xf numFmtId="44" fontId="0" fillId="0" borderId="0" xfId="5" applyFont="1" applyBorder="1"/>
    <xf numFmtId="37" fontId="0" fillId="0" borderId="0" xfId="0" applyNumberFormat="1" applyBorder="1"/>
    <xf numFmtId="44" fontId="2" fillId="0" borderId="0" xfId="5" applyFont="1" applyBorder="1"/>
    <xf numFmtId="43" fontId="0" fillId="0" borderId="0" xfId="3" applyFont="1"/>
    <xf numFmtId="39" fontId="3" fillId="0" borderId="4" xfId="0" applyNumberFormat="1" applyFont="1" applyBorder="1"/>
    <xf numFmtId="0" fontId="3" fillId="0" borderId="2" xfId="0" applyFont="1" applyBorder="1"/>
    <xf numFmtId="0" fontId="11" fillId="0" borderId="0" xfId="0" applyFont="1" applyBorder="1"/>
    <xf numFmtId="37" fontId="2" fillId="0" borderId="0" xfId="0" applyNumberFormat="1" applyFont="1" applyBorder="1"/>
    <xf numFmtId="43" fontId="0" fillId="0" borderId="2" xfId="0" applyNumberFormat="1" applyBorder="1"/>
    <xf numFmtId="37" fontId="3" fillId="0" borderId="4" xfId="0" applyNumberFormat="1" applyFont="1" applyBorder="1"/>
    <xf numFmtId="7" fontId="0" fillId="0" borderId="0" xfId="0" applyNumberFormat="1" applyBorder="1"/>
    <xf numFmtId="7" fontId="13" fillId="0" borderId="2" xfId="5" applyNumberFormat="1" applyFont="1" applyBorder="1"/>
    <xf numFmtId="7" fontId="13" fillId="0" borderId="0" xfId="5" applyNumberFormat="1" applyFont="1"/>
    <xf numFmtId="44" fontId="13" fillId="0" borderId="0" xfId="5" applyFont="1"/>
    <xf numFmtId="184" fontId="0" fillId="0" borderId="2" xfId="0" applyNumberFormat="1" applyBorder="1"/>
    <xf numFmtId="184" fontId="0" fillId="0" borderId="0" xfId="0" applyNumberFormat="1"/>
    <xf numFmtId="0" fontId="2" fillId="0" borderId="0" xfId="0" applyFont="1"/>
    <xf numFmtId="0" fontId="13" fillId="0" borderId="0" xfId="0" applyFont="1"/>
    <xf numFmtId="0" fontId="11" fillId="0" borderId="2" xfId="0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quotePrefix="1" applyBorder="1"/>
    <xf numFmtId="3" fontId="0" fillId="0" borderId="0" xfId="0" applyNumberFormat="1" applyBorder="1"/>
    <xf numFmtId="0" fontId="0" fillId="0" borderId="0" xfId="0" applyBorder="1" applyAlignment="1">
      <alignment horizontal="right"/>
    </xf>
    <xf numFmtId="4" fontId="0" fillId="0" borderId="0" xfId="0" applyNumberFormat="1" applyBorder="1"/>
    <xf numFmtId="4" fontId="0" fillId="6" borderId="2" xfId="0" applyNumberFormat="1" applyFill="1" applyBorder="1"/>
    <xf numFmtId="3" fontId="0" fillId="6" borderId="2" xfId="0" applyNumberFormat="1" applyFill="1" applyBorder="1"/>
    <xf numFmtId="4" fontId="0" fillId="0" borderId="3" xfId="0" applyNumberFormat="1" applyBorder="1"/>
    <xf numFmtId="16" fontId="0" fillId="0" borderId="0" xfId="0" quotePrefix="1" applyNumberFormat="1"/>
    <xf numFmtId="0" fontId="0" fillId="0" borderId="2" xfId="0" applyBorder="1" applyAlignment="1">
      <alignment horizontal="left"/>
    </xf>
    <xf numFmtId="0" fontId="0" fillId="0" borderId="0" xfId="0" applyAlignment="1">
      <alignment horizontal="centerContinuous"/>
    </xf>
    <xf numFmtId="3" fontId="0" fillId="0" borderId="2" xfId="0" applyNumberFormat="1" applyBorder="1"/>
    <xf numFmtId="3" fontId="0" fillId="0" borderId="3" xfId="0" applyNumberFormat="1" applyBorder="1"/>
    <xf numFmtId="171" fontId="0" fillId="0" borderId="2" xfId="0" applyNumberFormat="1" applyBorder="1"/>
    <xf numFmtId="16" fontId="0" fillId="0" borderId="2" xfId="0" quotePrefix="1" applyNumberFormat="1" applyBorder="1"/>
    <xf numFmtId="16" fontId="0" fillId="0" borderId="0" xfId="0" quotePrefix="1" applyNumberFormat="1" applyBorder="1"/>
    <xf numFmtId="0" fontId="3" fillId="0" borderId="0" xfId="0" applyFont="1" applyAlignment="1">
      <alignment horizontal="centerContinuous"/>
    </xf>
    <xf numFmtId="7" fontId="0" fillId="0" borderId="4" xfId="5" applyNumberFormat="1" applyFont="1" applyBorder="1"/>
    <xf numFmtId="7" fontId="0" fillId="0" borderId="0" xfId="5" applyNumberFormat="1" applyFont="1"/>
    <xf numFmtId="179" fontId="0" fillId="0" borderId="3" xfId="3" applyNumberFormat="1" applyFont="1" applyBorder="1"/>
    <xf numFmtId="43" fontId="0" fillId="0" borderId="4" xfId="3" applyFont="1" applyBorder="1"/>
    <xf numFmtId="0" fontId="14" fillId="0" borderId="0" xfId="0" applyFont="1"/>
    <xf numFmtId="0" fontId="15" fillId="0" borderId="0" xfId="0" applyFont="1"/>
    <xf numFmtId="0" fontId="16" fillId="0" borderId="0" xfId="0" applyFont="1"/>
    <xf numFmtId="41" fontId="0" fillId="0" borderId="0" xfId="0" applyNumberFormat="1" applyBorder="1"/>
    <xf numFmtId="41" fontId="2" fillId="0" borderId="0" xfId="0" applyNumberFormat="1" applyFont="1" applyBorder="1"/>
    <xf numFmtId="185" fontId="0" fillId="0" borderId="0" xfId="0" applyNumberFormat="1"/>
    <xf numFmtId="0" fontId="28" fillId="0" borderId="0" xfId="0" applyFont="1"/>
    <xf numFmtId="4" fontId="13" fillId="0" borderId="0" xfId="0" applyNumberFormat="1" applyFont="1"/>
    <xf numFmtId="37" fontId="3" fillId="0" borderId="3" xfId="0" applyNumberFormat="1" applyFont="1" applyBorder="1"/>
    <xf numFmtId="0" fontId="17" fillId="0" borderId="0" xfId="0" applyFont="1"/>
    <xf numFmtId="0" fontId="29" fillId="0" borderId="2" xfId="0" applyFont="1" applyBorder="1" applyAlignment="1">
      <alignment horizontal="center"/>
    </xf>
    <xf numFmtId="0" fontId="29" fillId="0" borderId="0" xfId="0" applyFont="1" applyAlignment="1">
      <alignment horizontal="center"/>
    </xf>
    <xf numFmtId="10" fontId="2" fillId="0" borderId="0" xfId="0" applyNumberFormat="1" applyFont="1"/>
    <xf numFmtId="40" fontId="0" fillId="0" borderId="0" xfId="0" applyNumberFormat="1" applyAlignment="1">
      <alignment horizontal="right"/>
    </xf>
    <xf numFmtId="40" fontId="0" fillId="0" borderId="0" xfId="0" applyNumberFormat="1" applyBorder="1" applyAlignment="1">
      <alignment horizontal="right"/>
    </xf>
    <xf numFmtId="178" fontId="0" fillId="0" borderId="0" xfId="3" applyNumberFormat="1" applyFont="1"/>
    <xf numFmtId="10" fontId="0" fillId="0" borderId="2" xfId="9" applyNumberFormat="1" applyFont="1" applyBorder="1" applyAlignment="1">
      <alignment horizontal="right"/>
    </xf>
    <xf numFmtId="40" fontId="0" fillId="0" borderId="2" xfId="0" applyNumberFormat="1" applyBorder="1" applyAlignment="1">
      <alignment horizontal="right"/>
    </xf>
    <xf numFmtId="10" fontId="0" fillId="0" borderId="0" xfId="9" applyNumberFormat="1" applyFont="1" applyAlignment="1">
      <alignment horizontal="right"/>
    </xf>
    <xf numFmtId="2" fontId="27" fillId="0" borderId="2" xfId="0" applyNumberFormat="1" applyFont="1" applyBorder="1" applyAlignment="1">
      <alignment horizontal="right"/>
    </xf>
    <xf numFmtId="2" fontId="27" fillId="0" borderId="0" xfId="0" applyNumberFormat="1" applyFont="1" applyAlignment="1">
      <alignment horizontal="right"/>
    </xf>
    <xf numFmtId="10" fontId="0" fillId="0" borderId="2" xfId="0" applyNumberFormat="1" applyBorder="1" applyAlignment="1">
      <alignment horizontal="right"/>
    </xf>
    <xf numFmtId="40" fontId="2" fillId="0" borderId="2" xfId="0" applyNumberFormat="1" applyFont="1" applyBorder="1" applyAlignment="1">
      <alignment horizontal="right"/>
    </xf>
    <xf numFmtId="10" fontId="0" fillId="0" borderId="0" xfId="0" applyNumberFormat="1" applyAlignment="1">
      <alignment horizontal="right"/>
    </xf>
    <xf numFmtId="40" fontId="2" fillId="0" borderId="0" xfId="0" applyNumberFormat="1" applyFont="1" applyAlignment="1">
      <alignment horizontal="right"/>
    </xf>
    <xf numFmtId="38" fontId="0" fillId="0" borderId="2" xfId="0" applyNumberFormat="1" applyBorder="1" applyAlignment="1">
      <alignment horizontal="right"/>
    </xf>
    <xf numFmtId="0" fontId="27" fillId="0" borderId="2" xfId="0" applyFont="1" applyBorder="1" applyAlignment="1">
      <alignment horizontal="right"/>
    </xf>
    <xf numFmtId="38" fontId="0" fillId="0" borderId="0" xfId="0" applyNumberFormat="1" applyAlignment="1">
      <alignment horizontal="right"/>
    </xf>
    <xf numFmtId="0" fontId="27" fillId="0" borderId="0" xfId="0" applyFont="1" applyAlignment="1">
      <alignment horizontal="right"/>
    </xf>
    <xf numFmtId="38" fontId="2" fillId="0" borderId="2" xfId="0" applyNumberFormat="1" applyFont="1" applyBorder="1" applyAlignment="1">
      <alignment horizontal="right"/>
    </xf>
    <xf numFmtId="38" fontId="2" fillId="0" borderId="0" xfId="0" applyNumberFormat="1" applyFont="1" applyAlignment="1">
      <alignment horizontal="right"/>
    </xf>
    <xf numFmtId="10" fontId="0" fillId="0" borderId="14" xfId="9" applyNumberFormat="1" applyFont="1" applyBorder="1" applyAlignment="1">
      <alignment horizontal="right"/>
    </xf>
    <xf numFmtId="0" fontId="0" fillId="0" borderId="14" xfId="0" applyBorder="1" applyAlignment="1">
      <alignment horizontal="right"/>
    </xf>
    <xf numFmtId="10" fontId="0" fillId="0" borderId="3" xfId="0" applyNumberFormat="1" applyBorder="1" applyAlignment="1">
      <alignment horizontal="right"/>
    </xf>
    <xf numFmtId="38" fontId="0" fillId="0" borderId="3" xfId="0" applyNumberFormat="1" applyBorder="1" applyAlignment="1">
      <alignment horizontal="right"/>
    </xf>
    <xf numFmtId="38" fontId="0" fillId="0" borderId="23" xfId="0" applyNumberFormat="1" applyBorder="1" applyAlignment="1">
      <alignment horizontal="right"/>
    </xf>
    <xf numFmtId="40" fontId="0" fillId="0" borderId="12" xfId="0" applyNumberFormat="1" applyBorder="1" applyAlignment="1">
      <alignment horizontal="right"/>
    </xf>
    <xf numFmtId="38" fontId="2" fillId="0" borderId="10" xfId="0" applyNumberFormat="1" applyFont="1" applyBorder="1" applyAlignment="1">
      <alignment horizontal="right"/>
    </xf>
    <xf numFmtId="38" fontId="0" fillId="0" borderId="10" xfId="0" applyNumberFormat="1" applyBorder="1" applyAlignment="1">
      <alignment horizontal="right"/>
    </xf>
    <xf numFmtId="38" fontId="2" fillId="0" borderId="12" xfId="0" applyNumberFormat="1" applyFont="1" applyBorder="1" applyAlignment="1">
      <alignment horizontal="right"/>
    </xf>
    <xf numFmtId="10" fontId="0" fillId="0" borderId="0" xfId="0" applyNumberFormat="1" applyBorder="1" applyAlignment="1">
      <alignment horizontal="right"/>
    </xf>
    <xf numFmtId="38" fontId="0" fillId="0" borderId="12" xfId="0" applyNumberFormat="1" applyBorder="1" applyAlignment="1">
      <alignment horizontal="right"/>
    </xf>
    <xf numFmtId="38" fontId="27" fillId="0" borderId="12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37" fontId="2" fillId="0" borderId="2" xfId="0" applyNumberFormat="1" applyFont="1" applyBorder="1"/>
    <xf numFmtId="39" fontId="2" fillId="0" borderId="0" xfId="0" applyNumberFormat="1" applyFont="1"/>
    <xf numFmtId="37" fontId="2" fillId="0" borderId="0" xfId="0" applyNumberFormat="1" applyFont="1"/>
    <xf numFmtId="39" fontId="2" fillId="0" borderId="0" xfId="0" applyNumberFormat="1" applyFont="1" applyBorder="1"/>
    <xf numFmtId="165" fontId="0" fillId="0" borderId="0" xfId="0" applyNumberFormat="1"/>
    <xf numFmtId="0" fontId="18" fillId="0" borderId="0" xfId="0" applyFont="1"/>
    <xf numFmtId="1" fontId="0" fillId="0" borderId="0" xfId="0" applyNumberFormat="1"/>
    <xf numFmtId="14" fontId="0" fillId="0" borderId="0" xfId="0" quotePrefix="1" applyNumberFormat="1" applyAlignment="1">
      <alignment horizontal="center"/>
    </xf>
    <xf numFmtId="0" fontId="19" fillId="0" borderId="0" xfId="7"/>
    <xf numFmtId="0" fontId="20" fillId="0" borderId="0" xfId="7" applyFont="1"/>
    <xf numFmtId="0" fontId="21" fillId="0" borderId="0" xfId="7" applyFont="1"/>
    <xf numFmtId="41" fontId="19" fillId="0" borderId="0" xfId="7" applyNumberFormat="1"/>
    <xf numFmtId="41" fontId="19" fillId="0" borderId="0" xfId="7" applyNumberFormat="1" applyAlignment="1">
      <alignment horizontal="fill"/>
    </xf>
    <xf numFmtId="0" fontId="19" fillId="0" borderId="0" xfId="7" applyAlignment="1">
      <alignment horizontal="left"/>
    </xf>
    <xf numFmtId="4" fontId="22" fillId="0" borderId="0" xfId="7" applyNumberFormat="1" applyFont="1"/>
    <xf numFmtId="4" fontId="23" fillId="0" borderId="5" xfId="7" applyNumberFormat="1" applyFont="1" applyBorder="1"/>
    <xf numFmtId="0" fontId="22" fillId="0" borderId="0" xfId="7" applyFont="1"/>
    <xf numFmtId="41" fontId="20" fillId="0" borderId="0" xfId="7" applyNumberFormat="1" applyFont="1"/>
    <xf numFmtId="41" fontId="24" fillId="0" borderId="5" xfId="7" applyNumberFormat="1" applyFont="1" applyBorder="1" applyAlignment="1">
      <alignment horizontal="fill"/>
    </xf>
    <xf numFmtId="41" fontId="19" fillId="0" borderId="0" xfId="7" applyNumberFormat="1" applyFont="1"/>
    <xf numFmtId="0" fontId="19" fillId="0" borderId="0" xfId="7" applyBorder="1"/>
    <xf numFmtId="175" fontId="19" fillId="0" borderId="0" xfId="7" applyNumberFormat="1"/>
    <xf numFmtId="1" fontId="19" fillId="0" borderId="0" xfId="7" applyNumberFormat="1"/>
    <xf numFmtId="10" fontId="19" fillId="0" borderId="0" xfId="7" applyNumberFormat="1"/>
    <xf numFmtId="1" fontId="22" fillId="0" borderId="0" xfId="7" applyNumberFormat="1" applyFont="1"/>
    <xf numFmtId="9" fontId="22" fillId="0" borderId="0" xfId="7" applyNumberFormat="1" applyFont="1"/>
    <xf numFmtId="41" fontId="24" fillId="0" borderId="0" xfId="7" applyNumberFormat="1" applyFont="1" applyBorder="1" applyAlignment="1">
      <alignment horizontal="fill"/>
    </xf>
    <xf numFmtId="0" fontId="19" fillId="0" borderId="22" xfId="7" applyBorder="1"/>
    <xf numFmtId="175" fontId="19" fillId="0" borderId="22" xfId="7" applyNumberFormat="1" applyBorder="1"/>
    <xf numFmtId="1" fontId="19" fillId="0" borderId="22" xfId="7" applyNumberFormat="1" applyBorder="1"/>
    <xf numFmtId="41" fontId="19" fillId="0" borderId="22" xfId="7" applyNumberFormat="1" applyBorder="1"/>
    <xf numFmtId="10" fontId="19" fillId="0" borderId="22" xfId="7" applyNumberFormat="1" applyBorder="1"/>
    <xf numFmtId="0" fontId="22" fillId="0" borderId="22" xfId="7" applyFont="1" applyBorder="1"/>
    <xf numFmtId="9" fontId="22" fillId="0" borderId="22" xfId="7" applyNumberFormat="1" applyFont="1" applyBorder="1"/>
    <xf numFmtId="0" fontId="19" fillId="0" borderId="0" xfId="7" applyAlignment="1">
      <alignment horizontal="center"/>
    </xf>
    <xf numFmtId="41" fontId="19" fillId="0" borderId="4" xfId="7" applyNumberFormat="1" applyBorder="1"/>
    <xf numFmtId="0" fontId="19" fillId="0" borderId="4" xfId="7" applyBorder="1"/>
    <xf numFmtId="41" fontId="24" fillId="0" borderId="5" xfId="7" applyNumberFormat="1" applyFont="1" applyBorder="1"/>
    <xf numFmtId="41" fontId="19" fillId="0" borderId="4" xfId="7" applyNumberFormat="1" applyBorder="1" applyAlignment="1">
      <alignment horizontal="fill"/>
    </xf>
    <xf numFmtId="0" fontId="19" fillId="0" borderId="4" xfId="7" applyBorder="1" applyAlignment="1">
      <alignment horizontal="fill"/>
    </xf>
    <xf numFmtId="43" fontId="19" fillId="0" borderId="0" xfId="7" applyNumberFormat="1"/>
    <xf numFmtId="0" fontId="22" fillId="0" borderId="0" xfId="7" applyFont="1" applyFill="1"/>
    <xf numFmtId="0" fontId="22" fillId="5" borderId="0" xfId="7" applyFont="1" applyFill="1"/>
    <xf numFmtId="14" fontId="19" fillId="0" borderId="0" xfId="7" applyNumberFormat="1"/>
    <xf numFmtId="0" fontId="19" fillId="0" borderId="0" xfId="7" applyAlignment="1">
      <alignment horizontal="fill"/>
    </xf>
    <xf numFmtId="0" fontId="19" fillId="0" borderId="4" xfId="7" applyBorder="1" applyAlignment="1">
      <alignment horizontal="center"/>
    </xf>
    <xf numFmtId="14" fontId="24" fillId="0" borderId="4" xfId="7" applyNumberFormat="1" applyFont="1" applyBorder="1" applyAlignment="1">
      <alignment horizontal="center"/>
    </xf>
    <xf numFmtId="14" fontId="19" fillId="0" borderId="4" xfId="7" applyNumberFormat="1" applyBorder="1" applyAlignment="1">
      <alignment horizontal="center"/>
    </xf>
    <xf numFmtId="14" fontId="19" fillId="0" borderId="4" xfId="7" applyNumberFormat="1" applyFont="1" applyBorder="1" applyAlignment="1">
      <alignment horizontal="center"/>
    </xf>
    <xf numFmtId="0" fontId="24" fillId="0" borderId="4" xfId="7" applyFont="1" applyBorder="1" applyAlignment="1">
      <alignment horizontal="center"/>
    </xf>
    <xf numFmtId="0" fontId="19" fillId="0" borderId="4" xfId="7" applyBorder="1" applyAlignment="1">
      <alignment horizontal="left"/>
    </xf>
    <xf numFmtId="0" fontId="24" fillId="0" borderId="0" xfId="7" applyFont="1" applyAlignment="1">
      <alignment horizontal="center"/>
    </xf>
    <xf numFmtId="0" fontId="19" fillId="0" borderId="0" xfId="7" applyFont="1" applyAlignment="1">
      <alignment horizontal="center"/>
    </xf>
    <xf numFmtId="0" fontId="19" fillId="0" borderId="0" xfId="7" applyFill="1"/>
    <xf numFmtId="41" fontId="19" fillId="0" borderId="0" xfId="7" applyNumberFormat="1" applyFill="1"/>
    <xf numFmtId="0" fontId="19" fillId="4" borderId="0" xfId="7" applyFill="1"/>
    <xf numFmtId="14" fontId="19" fillId="0" borderId="0" xfId="7" quotePrefix="1" applyNumberFormat="1" applyAlignment="1">
      <alignment horizontal="left"/>
    </xf>
    <xf numFmtId="0" fontId="24" fillId="0" borderId="0" xfId="7" applyFont="1" applyAlignment="1">
      <alignment horizontal="left"/>
    </xf>
    <xf numFmtId="39" fontId="3" fillId="0" borderId="3" xfId="0" applyNumberFormat="1" applyFont="1" applyFill="1" applyBorder="1"/>
    <xf numFmtId="164" fontId="10" fillId="7" borderId="0" xfId="8" applyNumberFormat="1" applyFont="1" applyFill="1"/>
    <xf numFmtId="180" fontId="10" fillId="5" borderId="0" xfId="4" applyNumberFormat="1" applyFont="1" applyFill="1"/>
    <xf numFmtId="180" fontId="0" fillId="0" borderId="6" xfId="4" applyNumberFormat="1" applyFont="1" applyBorder="1" applyAlignment="1">
      <alignment horizontal="center"/>
    </xf>
    <xf numFmtId="180" fontId="0" fillId="0" borderId="8" xfId="4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180" fontId="0" fillId="0" borderId="6" xfId="0" applyNumberFormat="1" applyBorder="1"/>
    <xf numFmtId="0" fontId="11" fillId="0" borderId="0" xfId="0" applyFont="1" applyAlignment="1"/>
    <xf numFmtId="0" fontId="11" fillId="0" borderId="6" xfId="0" applyFont="1" applyBorder="1" applyAlignment="1">
      <alignment horizontal="center"/>
    </xf>
    <xf numFmtId="0" fontId="11" fillId="0" borderId="6" xfId="0" applyFont="1" applyBorder="1"/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" xfId="0" applyFont="1" applyBorder="1"/>
    <xf numFmtId="180" fontId="0" fillId="0" borderId="0" xfId="0" applyNumberFormat="1" applyBorder="1"/>
    <xf numFmtId="180" fontId="0" fillId="0" borderId="0" xfId="4" applyNumberFormat="1" applyFont="1" applyBorder="1"/>
    <xf numFmtId="164" fontId="0" fillId="0" borderId="2" xfId="8" applyNumberFormat="1" applyFont="1" applyBorder="1"/>
    <xf numFmtId="0" fontId="0" fillId="0" borderId="6" xfId="1" applyNumberFormat="1" applyFont="1" applyBorder="1" applyAlignment="1">
      <alignment horizontal="center"/>
    </xf>
    <xf numFmtId="180" fontId="0" fillId="0" borderId="2" xfId="0" applyNumberFormat="1" applyBorder="1"/>
    <xf numFmtId="180" fontId="10" fillId="8" borderId="0" xfId="4" applyNumberFormat="1" applyFont="1" applyFill="1"/>
    <xf numFmtId="180" fontId="10" fillId="8" borderId="2" xfId="4" applyNumberFormat="1" applyFont="1" applyFill="1" applyBorder="1"/>
    <xf numFmtId="0" fontId="0" fillId="8" borderId="0" xfId="0" applyFill="1"/>
    <xf numFmtId="0" fontId="0" fillId="5" borderId="0" xfId="0" applyFill="1"/>
    <xf numFmtId="41" fontId="19" fillId="0" borderId="0" xfId="7" applyNumberFormat="1" applyBorder="1" applyAlignment="1">
      <alignment horizontal="fill"/>
    </xf>
    <xf numFmtId="164" fontId="27" fillId="0" borderId="0" xfId="0" applyNumberFormat="1" applyFont="1" applyFill="1"/>
    <xf numFmtId="164" fontId="0" fillId="0" borderId="0" xfId="8" applyNumberFormat="1" applyFont="1" applyFill="1"/>
    <xf numFmtId="180" fontId="0" fillId="0" borderId="0" xfId="4" applyNumberFormat="1" applyFont="1" applyFill="1"/>
    <xf numFmtId="180" fontId="0" fillId="0" borderId="0" xfId="0" applyNumberFormat="1"/>
    <xf numFmtId="180" fontId="0" fillId="0" borderId="0" xfId="0" applyNumberFormat="1" applyFill="1"/>
    <xf numFmtId="3" fontId="22" fillId="0" borderId="0" xfId="7" applyNumberFormat="1" applyFont="1"/>
    <xf numFmtId="3" fontId="19" fillId="0" borderId="4" xfId="7" applyNumberFormat="1" applyBorder="1" applyAlignment="1">
      <alignment horizontal="fill"/>
    </xf>
    <xf numFmtId="3" fontId="19" fillId="0" borderId="0" xfId="7" applyNumberFormat="1" applyFont="1"/>
    <xf numFmtId="0" fontId="22" fillId="10" borderId="0" xfId="7" applyFont="1" applyFill="1"/>
    <xf numFmtId="0" fontId="19" fillId="10" borderId="0" xfId="7" applyFill="1" applyAlignment="1">
      <alignment horizontal="center"/>
    </xf>
    <xf numFmtId="0" fontId="19" fillId="10" borderId="4" xfId="7" applyFill="1" applyBorder="1" applyAlignment="1">
      <alignment horizontal="center"/>
    </xf>
    <xf numFmtId="0" fontId="22" fillId="0" borderId="0" xfId="7" applyFont="1" applyFill="1" applyBorder="1"/>
    <xf numFmtId="0" fontId="22" fillId="10" borderId="0" xfId="7" applyFont="1" applyFill="1" applyBorder="1"/>
    <xf numFmtId="0" fontId="19" fillId="11" borderId="0" xfId="7" applyFill="1"/>
    <xf numFmtId="41" fontId="19" fillId="10" borderId="0" xfId="7" applyNumberFormat="1" applyFill="1"/>
    <xf numFmtId="0" fontId="22" fillId="0" borderId="0" xfId="7" applyFont="1" applyBorder="1"/>
    <xf numFmtId="9" fontId="22" fillId="0" borderId="0" xfId="7" applyNumberFormat="1" applyFont="1" applyBorder="1"/>
    <xf numFmtId="10" fontId="19" fillId="10" borderId="0" xfId="7" applyNumberFormat="1" applyFill="1"/>
    <xf numFmtId="185" fontId="3" fillId="10" borderId="0" xfId="5" applyNumberFormat="1" applyFont="1" applyFill="1"/>
    <xf numFmtId="180" fontId="10" fillId="0" borderId="0" xfId="4" applyNumberFormat="1" applyFont="1" applyFill="1"/>
    <xf numFmtId="0" fontId="19" fillId="9" borderId="0" xfId="7" applyFill="1"/>
    <xf numFmtId="0" fontId="22" fillId="9" borderId="0" xfId="7" applyFont="1" applyFill="1"/>
    <xf numFmtId="164" fontId="3" fillId="8" borderId="0" xfId="0" applyNumberFormat="1" applyFont="1" applyFill="1"/>
    <xf numFmtId="164" fontId="2" fillId="8" borderId="0" xfId="0" applyNumberFormat="1" applyFont="1" applyFill="1"/>
    <xf numFmtId="164" fontId="27" fillId="8" borderId="0" xfId="0" applyNumberFormat="1" applyFont="1" applyFill="1"/>
    <xf numFmtId="164" fontId="0" fillId="8" borderId="0" xfId="0" applyNumberFormat="1" applyFill="1"/>
    <xf numFmtId="164" fontId="0" fillId="12" borderId="0" xfId="0" applyNumberFormat="1" applyFill="1"/>
    <xf numFmtId="164" fontId="27" fillId="8" borderId="2" xfId="0" applyNumberFormat="1" applyFont="1" applyFill="1" applyBorder="1"/>
    <xf numFmtId="9" fontId="0" fillId="0" borderId="6" xfId="8" applyFont="1" applyBorder="1"/>
    <xf numFmtId="164" fontId="27" fillId="10" borderId="0" xfId="0" applyNumberFormat="1" applyFont="1" applyFill="1"/>
    <xf numFmtId="43" fontId="0" fillId="0" borderId="12" xfId="0" applyNumberFormat="1" applyBorder="1"/>
    <xf numFmtId="0" fontId="0" fillId="0" borderId="0" xfId="0" applyFill="1" applyBorder="1"/>
    <xf numFmtId="0" fontId="0" fillId="12" borderId="0" xfId="0" applyFill="1"/>
    <xf numFmtId="164" fontId="2" fillId="12" borderId="0" xfId="0" applyNumberFormat="1" applyFont="1" applyFill="1"/>
    <xf numFmtId="10" fontId="0" fillId="5" borderId="0" xfId="0" applyNumberFormat="1" applyFill="1"/>
    <xf numFmtId="0" fontId="0" fillId="12" borderId="0" xfId="0" applyFill="1" applyAlignment="1">
      <alignment horizontal="center"/>
    </xf>
    <xf numFmtId="44" fontId="0" fillId="12" borderId="0" xfId="0" applyNumberFormat="1" applyFill="1"/>
    <xf numFmtId="164" fontId="0" fillId="12" borderId="0" xfId="8" applyNumberFormat="1" applyFont="1" applyFill="1"/>
    <xf numFmtId="3" fontId="22" fillId="0" borderId="0" xfId="7" applyNumberFormat="1" applyFont="1" applyFill="1"/>
    <xf numFmtId="3" fontId="22" fillId="8" borderId="0" xfId="7" applyNumberFormat="1" applyFont="1" applyFill="1"/>
    <xf numFmtId="4" fontId="22" fillId="8" borderId="0" xfId="7" applyNumberFormat="1" applyFont="1" applyFill="1"/>
    <xf numFmtId="4" fontId="22" fillId="5" borderId="0" xfId="7" applyNumberFormat="1" applyFont="1" applyFill="1"/>
    <xf numFmtId="180" fontId="0" fillId="0" borderId="0" xfId="0" applyNumberFormat="1" applyFill="1" applyBorder="1"/>
    <xf numFmtId="180" fontId="19" fillId="0" borderId="0" xfId="4" applyNumberFormat="1" applyFont="1"/>
    <xf numFmtId="164" fontId="0" fillId="0" borderId="0" xfId="0" applyNumberFormat="1" applyFill="1"/>
    <xf numFmtId="180" fontId="0" fillId="12" borderId="0" xfId="4" applyNumberFormat="1" applyFont="1" applyFill="1"/>
    <xf numFmtId="164" fontId="3" fillId="12" borderId="0" xfId="0" applyNumberFormat="1" applyFont="1" applyFill="1"/>
    <xf numFmtId="180" fontId="19" fillId="0" borderId="0" xfId="7" applyNumberFormat="1"/>
    <xf numFmtId="44" fontId="19" fillId="0" borderId="0" xfId="7" applyNumberFormat="1"/>
    <xf numFmtId="0" fontId="9" fillId="2" borderId="0" xfId="6" applyNumberFormat="1"/>
    <xf numFmtId="0" fontId="9" fillId="2" borderId="0" xfId="6" applyNumberFormat="1" applyAlignment="1">
      <alignment horizontal="center"/>
    </xf>
    <xf numFmtId="0" fontId="9" fillId="2" borderId="6" xfId="6" applyNumberFormat="1" applyBorder="1"/>
    <xf numFmtId="0" fontId="9" fillId="3" borderId="0" xfId="6" applyNumberFormat="1" applyFill="1"/>
    <xf numFmtId="166" fontId="9" fillId="2" borderId="0" xfId="6" applyNumberFormat="1"/>
    <xf numFmtId="39" fontId="9" fillId="2" borderId="0" xfId="6" applyNumberFormat="1"/>
    <xf numFmtId="168" fontId="9" fillId="2" borderId="0" xfId="6" applyNumberFormat="1"/>
    <xf numFmtId="37" fontId="9" fillId="2" borderId="0" xfId="6" applyNumberFormat="1"/>
    <xf numFmtId="166" fontId="9" fillId="2" borderId="24" xfId="6" applyNumberFormat="1" applyBorder="1"/>
    <xf numFmtId="168" fontId="9" fillId="2" borderId="4" xfId="6" applyNumberFormat="1" applyBorder="1"/>
    <xf numFmtId="39" fontId="9" fillId="2" borderId="4" xfId="6" applyNumberFormat="1" applyBorder="1"/>
    <xf numFmtId="0" fontId="9" fillId="2" borderId="25" xfId="6" applyNumberFormat="1" applyBorder="1"/>
    <xf numFmtId="10" fontId="31" fillId="3" borderId="17" xfId="11" applyFont="1" applyBorder="1"/>
    <xf numFmtId="10" fontId="31" fillId="3" borderId="0" xfId="11" applyFont="1" applyBorder="1"/>
    <xf numFmtId="0" fontId="9" fillId="2" borderId="0" xfId="6" applyNumberFormat="1" applyBorder="1"/>
    <xf numFmtId="10" fontId="9" fillId="2" borderId="17" xfId="6" applyNumberFormat="1" applyBorder="1"/>
    <xf numFmtId="0" fontId="8" fillId="2" borderId="0" xfId="6" applyNumberFormat="1" applyFont="1" applyBorder="1"/>
    <xf numFmtId="0" fontId="32" fillId="2" borderId="0" xfId="6" applyNumberFormat="1" applyFont="1" applyBorder="1"/>
    <xf numFmtId="0" fontId="33" fillId="2" borderId="0" xfId="6" applyNumberFormat="1" applyFont="1" applyBorder="1"/>
    <xf numFmtId="0" fontId="9" fillId="14" borderId="0" xfId="6" applyNumberFormat="1" applyFill="1"/>
    <xf numFmtId="0" fontId="33" fillId="2" borderId="17" xfId="6" applyNumberFormat="1" applyFont="1" applyBorder="1"/>
    <xf numFmtId="0" fontId="33" fillId="2" borderId="6" xfId="6" applyNumberFormat="1" applyFont="1" applyBorder="1"/>
    <xf numFmtId="0" fontId="34" fillId="14" borderId="0" xfId="6" applyNumberFormat="1" applyFont="1" applyFill="1"/>
    <xf numFmtId="173" fontId="9" fillId="2" borderId="0" xfId="6" applyNumberFormat="1"/>
    <xf numFmtId="10" fontId="31" fillId="3" borderId="24" xfId="11" applyFont="1" applyBorder="1"/>
    <xf numFmtId="10" fontId="31" fillId="3" borderId="4" xfId="11" applyFont="1" applyBorder="1"/>
    <xf numFmtId="10" fontId="9" fillId="2" borderId="4" xfId="6" applyNumberFormat="1" applyBorder="1"/>
    <xf numFmtId="173" fontId="9" fillId="2" borderId="24" xfId="6" applyNumberFormat="1" applyBorder="1" applyAlignment="1">
      <alignment horizontal="center"/>
    </xf>
    <xf numFmtId="173" fontId="35" fillId="2" borderId="4" xfId="6" applyNumberFormat="1" applyFont="1" applyBorder="1" applyAlignment="1">
      <alignment horizontal="left"/>
    </xf>
    <xf numFmtId="0" fontId="9" fillId="2" borderId="4" xfId="6" applyNumberFormat="1" applyBorder="1" applyAlignment="1">
      <alignment horizontal="right"/>
    </xf>
    <xf numFmtId="177" fontId="31" fillId="3" borderId="17" xfId="11" applyNumberFormat="1" applyFont="1" applyBorder="1"/>
    <xf numFmtId="0" fontId="9" fillId="14" borderId="0" xfId="6" applyNumberFormat="1" applyFill="1" applyAlignment="1">
      <alignment horizontal="right"/>
    </xf>
    <xf numFmtId="0" fontId="34" fillId="14" borderId="0" xfId="6" applyNumberFormat="1" applyFont="1" applyFill="1" applyAlignment="1">
      <alignment horizontal="fill"/>
    </xf>
    <xf numFmtId="173" fontId="9" fillId="2" borderId="17" xfId="6" applyNumberFormat="1" applyBorder="1" applyAlignment="1">
      <alignment horizontal="center"/>
    </xf>
    <xf numFmtId="0" fontId="36" fillId="2" borderId="0" xfId="6" applyNumberFormat="1" applyFont="1" applyBorder="1" applyAlignment="1">
      <alignment horizontal="centerContinuous"/>
    </xf>
    <xf numFmtId="10" fontId="9" fillId="2" borderId="0" xfId="6" applyNumberFormat="1" applyBorder="1"/>
    <xf numFmtId="173" fontId="35" fillId="2" borderId="17" xfId="6" applyNumberFormat="1" applyFont="1" applyBorder="1" applyAlignment="1">
      <alignment horizontal="center"/>
    </xf>
    <xf numFmtId="0" fontId="9" fillId="2" borderId="0" xfId="6" applyNumberFormat="1" applyBorder="1" applyAlignment="1">
      <alignment horizontal="left"/>
    </xf>
    <xf numFmtId="173" fontId="35" fillId="2" borderId="0" xfId="6" applyNumberFormat="1" applyFont="1" applyBorder="1" applyAlignment="1">
      <alignment horizontal="center"/>
    </xf>
    <xf numFmtId="0" fontId="9" fillId="2" borderId="6" xfId="6" applyNumberFormat="1" applyBorder="1" applyAlignment="1">
      <alignment horizontal="left"/>
    </xf>
    <xf numFmtId="0" fontId="9" fillId="2" borderId="0" xfId="6" applyNumberFormat="1" applyAlignment="1">
      <alignment horizontal="centerContinuous"/>
    </xf>
    <xf numFmtId="0" fontId="38" fillId="2" borderId="0" xfId="6" applyNumberFormat="1" applyFont="1" applyBorder="1" applyAlignment="1">
      <alignment horizontal="centerContinuous"/>
    </xf>
    <xf numFmtId="186" fontId="9" fillId="2" borderId="0" xfId="6" applyNumberFormat="1"/>
    <xf numFmtId="0" fontId="34" fillId="2" borderId="24" xfId="6" applyNumberFormat="1" applyFont="1" applyBorder="1"/>
    <xf numFmtId="0" fontId="9" fillId="2" borderId="4" xfId="6" applyNumberFormat="1" applyFont="1" applyBorder="1"/>
    <xf numFmtId="10" fontId="9" fillId="2" borderId="25" xfId="6" applyNumberFormat="1" applyFont="1" applyBorder="1" applyAlignment="1">
      <alignment horizontal="center"/>
    </xf>
    <xf numFmtId="2" fontId="39" fillId="14" borderId="0" xfId="6" applyNumberFormat="1" applyFont="1" applyFill="1"/>
    <xf numFmtId="0" fontId="39" fillId="14" borderId="0" xfId="6" applyNumberFormat="1" applyFont="1" applyFill="1"/>
    <xf numFmtId="0" fontId="9" fillId="2" borderId="17" xfId="6" applyNumberFormat="1" applyBorder="1"/>
    <xf numFmtId="0" fontId="9" fillId="2" borderId="0" xfId="6" applyNumberFormat="1" applyFont="1" applyBorder="1"/>
    <xf numFmtId="0" fontId="9" fillId="2" borderId="6" xfId="6" applyNumberFormat="1" applyFont="1" applyBorder="1" applyAlignment="1">
      <alignment horizontal="center"/>
    </xf>
    <xf numFmtId="0" fontId="9" fillId="2" borderId="0" xfId="6" quotePrefix="1" applyNumberFormat="1" applyFont="1" applyBorder="1" applyAlignment="1">
      <alignment horizontal="left"/>
    </xf>
    <xf numFmtId="0" fontId="40" fillId="2" borderId="0" xfId="6" applyNumberFormat="1" applyFont="1" applyBorder="1"/>
    <xf numFmtId="10" fontId="41" fillId="2" borderId="0" xfId="6" applyNumberFormat="1" applyFont="1" applyBorder="1"/>
    <xf numFmtId="0" fontId="41" fillId="2" borderId="0" xfId="6" applyNumberFormat="1" applyFont="1" applyBorder="1"/>
    <xf numFmtId="0" fontId="40" fillId="2" borderId="6" xfId="6" applyNumberFormat="1" applyFont="1" applyBorder="1"/>
    <xf numFmtId="0" fontId="41" fillId="2" borderId="26" xfId="6" applyNumberFormat="1" applyFont="1" applyBorder="1" applyAlignment="1">
      <alignment horizontal="center"/>
    </xf>
    <xf numFmtId="0" fontId="40" fillId="2" borderId="0" xfId="6" applyNumberFormat="1" applyFont="1"/>
    <xf numFmtId="41" fontId="41" fillId="2" borderId="0" xfId="6" applyNumberFormat="1" applyFont="1" applyBorder="1"/>
    <xf numFmtId="177" fontId="41" fillId="2" borderId="0" xfId="6" applyNumberFormat="1" applyFont="1" applyBorder="1"/>
    <xf numFmtId="0" fontId="42" fillId="2" borderId="0" xfId="6" applyNumberFormat="1" applyFont="1"/>
    <xf numFmtId="0" fontId="41" fillId="2" borderId="0" xfId="6" applyNumberFormat="1" applyFont="1"/>
    <xf numFmtId="0" fontId="9" fillId="2" borderId="0" xfId="6" applyNumberFormat="1" applyBorder="1" applyAlignment="1">
      <alignment horizontal="center"/>
    </xf>
    <xf numFmtId="0" fontId="9" fillId="2" borderId="6" xfId="6" applyNumberFormat="1" applyBorder="1" applyAlignment="1">
      <alignment horizontal="center"/>
    </xf>
    <xf numFmtId="41" fontId="41" fillId="2" borderId="27" xfId="6" applyNumberFormat="1" applyFont="1" applyBorder="1"/>
    <xf numFmtId="177" fontId="41" fillId="2" borderId="27" xfId="6" applyNumberFormat="1" applyFont="1" applyBorder="1"/>
    <xf numFmtId="0" fontId="9" fillId="2" borderId="24" xfId="6" applyNumberFormat="1" applyBorder="1"/>
    <xf numFmtId="0" fontId="9" fillId="2" borderId="4" xfId="6" applyNumberFormat="1" applyBorder="1"/>
    <xf numFmtId="0" fontId="9" fillId="2" borderId="24" xfId="6" applyNumberFormat="1" applyBorder="1" applyAlignment="1">
      <alignment horizontal="center"/>
    </xf>
    <xf numFmtId="0" fontId="9" fillId="2" borderId="25" xfId="6" applyNumberFormat="1" applyBorder="1" applyAlignment="1">
      <alignment horizontal="center"/>
    </xf>
    <xf numFmtId="178" fontId="41" fillId="2" borderId="0" xfId="6" applyNumberFormat="1" applyFont="1" applyBorder="1" applyProtection="1">
      <protection locked="0"/>
    </xf>
    <xf numFmtId="177" fontId="41" fillId="2" borderId="0" xfId="6" applyNumberFormat="1" applyFont="1"/>
    <xf numFmtId="0" fontId="43" fillId="2" borderId="0" xfId="6" applyNumberFormat="1" applyFont="1"/>
    <xf numFmtId="10" fontId="9" fillId="2" borderId="0" xfId="6" applyNumberFormat="1" applyAlignment="1">
      <alignment horizontal="center"/>
    </xf>
    <xf numFmtId="41" fontId="9" fillId="2" borderId="0" xfId="6" applyNumberFormat="1"/>
    <xf numFmtId="10" fontId="9" fillId="2" borderId="17" xfId="6" applyNumberFormat="1" applyBorder="1" applyAlignment="1">
      <alignment horizontal="right"/>
    </xf>
    <xf numFmtId="0" fontId="9" fillId="2" borderId="17" xfId="6" applyNumberFormat="1" applyBorder="1" applyAlignment="1">
      <alignment horizontal="center"/>
    </xf>
    <xf numFmtId="0" fontId="9" fillId="2" borderId="0" xfId="6" quotePrefix="1" applyNumberFormat="1" applyBorder="1" applyAlignment="1">
      <alignment horizontal="right"/>
    </xf>
    <xf numFmtId="0" fontId="9" fillId="2" borderId="17" xfId="6" applyNumberFormat="1" applyBorder="1" applyAlignment="1">
      <alignment horizontal="centerContinuous"/>
    </xf>
    <xf numFmtId="0" fontId="9" fillId="2" borderId="6" xfId="6" applyNumberFormat="1" applyBorder="1" applyAlignment="1">
      <alignment horizontal="centerContinuous"/>
    </xf>
    <xf numFmtId="0" fontId="44" fillId="2" borderId="4" xfId="6" applyNumberFormat="1" applyFont="1" applyBorder="1" applyAlignment="1">
      <alignment horizontal="center"/>
    </xf>
    <xf numFmtId="0" fontId="44" fillId="2" borderId="4" xfId="6" applyNumberFormat="1" applyFont="1" applyBorder="1" applyAlignment="1">
      <alignment horizontal="right"/>
    </xf>
    <xf numFmtId="10" fontId="8" fillId="3" borderId="0" xfId="11"/>
    <xf numFmtId="0" fontId="45" fillId="2" borderId="0" xfId="6" applyNumberFormat="1" applyFont="1"/>
    <xf numFmtId="0" fontId="46" fillId="2" borderId="0" xfId="6" applyNumberFormat="1" applyFont="1"/>
    <xf numFmtId="41" fontId="9" fillId="2" borderId="17" xfId="6" applyNumberFormat="1" applyBorder="1"/>
    <xf numFmtId="41" fontId="9" fillId="2" borderId="0" xfId="6" applyNumberFormat="1" applyBorder="1"/>
    <xf numFmtId="41" fontId="9" fillId="2" borderId="6" xfId="6" applyNumberFormat="1" applyBorder="1"/>
    <xf numFmtId="10" fontId="47" fillId="2" borderId="0" xfId="6" applyNumberFormat="1" applyFont="1" applyBorder="1"/>
    <xf numFmtId="166" fontId="9" fillId="2" borderId="4" xfId="6" applyNumberFormat="1" applyBorder="1"/>
    <xf numFmtId="2" fontId="9" fillId="2" borderId="6" xfId="6" applyNumberFormat="1" applyBorder="1" applyAlignment="1">
      <alignment horizontal="center"/>
    </xf>
    <xf numFmtId="166" fontId="9" fillId="2" borderId="0" xfId="6" applyNumberFormat="1" applyBorder="1"/>
    <xf numFmtId="0" fontId="9" fillId="2" borderId="26" xfId="6" applyNumberFormat="1" applyBorder="1"/>
    <xf numFmtId="10" fontId="41" fillId="2" borderId="0" xfId="6" applyNumberFormat="1" applyFont="1"/>
    <xf numFmtId="166" fontId="48" fillId="2" borderId="0" xfId="6" applyNumberFormat="1" applyFont="1" applyBorder="1"/>
    <xf numFmtId="0" fontId="48" fillId="2" borderId="6" xfId="6" applyNumberFormat="1" applyFont="1" applyBorder="1" applyAlignment="1">
      <alignment horizontal="center"/>
    </xf>
    <xf numFmtId="39" fontId="41" fillId="2" borderId="0" xfId="6" applyNumberFormat="1" applyFont="1"/>
    <xf numFmtId="0" fontId="41" fillId="2" borderId="0" xfId="6" quotePrefix="1" applyNumberFormat="1" applyFont="1" applyAlignment="1">
      <alignment horizontal="left"/>
    </xf>
    <xf numFmtId="10" fontId="9" fillId="14" borderId="0" xfId="6" applyNumberFormat="1" applyFill="1"/>
    <xf numFmtId="0" fontId="46" fillId="2" borderId="0" xfId="6" applyNumberFormat="1" applyFont="1" applyAlignment="1">
      <alignment horizontal="right"/>
    </xf>
    <xf numFmtId="0" fontId="44" fillId="2" borderId="0" xfId="6" applyNumberFormat="1" applyFont="1"/>
    <xf numFmtId="0" fontId="44" fillId="2" borderId="0" xfId="6" applyNumberFormat="1" applyFont="1" applyAlignment="1">
      <alignment horizontal="center"/>
    </xf>
    <xf numFmtId="10" fontId="41" fillId="2" borderId="27" xfId="6" applyNumberFormat="1" applyFont="1" applyBorder="1" applyAlignment="1">
      <alignment horizontal="center"/>
    </xf>
    <xf numFmtId="0" fontId="40" fillId="2" borderId="0" xfId="6" applyNumberFormat="1" applyFont="1" applyAlignment="1">
      <alignment horizontal="right"/>
    </xf>
    <xf numFmtId="9" fontId="41" fillId="2" borderId="0" xfId="6" applyNumberFormat="1" applyFont="1" applyAlignment="1">
      <alignment horizontal="center"/>
    </xf>
    <xf numFmtId="0" fontId="41" fillId="2" borderId="0" xfId="6" applyNumberFormat="1" applyFont="1" applyAlignment="1">
      <alignment horizontal="right"/>
    </xf>
    <xf numFmtId="10" fontId="41" fillId="2" borderId="0" xfId="6" applyNumberFormat="1" applyFont="1" applyAlignment="1">
      <alignment horizontal="center"/>
    </xf>
    <xf numFmtId="10" fontId="41" fillId="2" borderId="0" xfId="6" applyNumberFormat="1" applyFont="1" applyAlignment="1">
      <alignment horizontal="right"/>
    </xf>
    <xf numFmtId="41" fontId="41" fillId="2" borderId="4" xfId="6" applyNumberFormat="1" applyFont="1" applyBorder="1" applyProtection="1">
      <protection locked="0"/>
    </xf>
    <xf numFmtId="41" fontId="41" fillId="2" borderId="0" xfId="6" applyNumberFormat="1" applyFont="1"/>
    <xf numFmtId="41" fontId="41" fillId="2" borderId="0" xfId="6" applyNumberFormat="1" applyFont="1" applyBorder="1" applyProtection="1">
      <protection locked="0"/>
    </xf>
    <xf numFmtId="0" fontId="49" fillId="2" borderId="0" xfId="6" applyNumberFormat="1" applyFont="1" applyAlignment="1">
      <alignment horizontal="center"/>
    </xf>
    <xf numFmtId="0" fontId="49" fillId="2" borderId="0" xfId="6" applyNumberFormat="1" applyFont="1" applyAlignment="1">
      <alignment horizontal="right"/>
    </xf>
    <xf numFmtId="41" fontId="49" fillId="2" borderId="0" xfId="6" applyNumberFormat="1" applyFont="1" applyAlignment="1">
      <alignment horizontal="center"/>
    </xf>
    <xf numFmtId="0" fontId="50" fillId="3" borderId="0" xfId="6" applyNumberFormat="1" applyFont="1" applyFill="1" applyBorder="1" applyAlignment="1">
      <alignment horizontal="centerContinuous"/>
    </xf>
    <xf numFmtId="0" fontId="50" fillId="15" borderId="0" xfId="6" applyNumberFormat="1" applyFont="1" applyFill="1" applyBorder="1" applyAlignment="1">
      <alignment horizontal="right"/>
    </xf>
    <xf numFmtId="41" fontId="44" fillId="2" borderId="28" xfId="6" applyNumberFormat="1" applyFont="1" applyBorder="1"/>
    <xf numFmtId="0" fontId="44" fillId="2" borderId="0" xfId="6" applyNumberFormat="1" applyFont="1" applyBorder="1" applyAlignment="1">
      <alignment horizontal="right"/>
    </xf>
    <xf numFmtId="41" fontId="44" fillId="2" borderId="5" xfId="6" applyNumberFormat="1" applyFont="1" applyBorder="1"/>
    <xf numFmtId="0" fontId="38" fillId="14" borderId="0" xfId="6" applyNumberFormat="1" applyFont="1" applyFill="1"/>
    <xf numFmtId="41" fontId="41" fillId="2" borderId="17" xfId="6" applyNumberFormat="1" applyFont="1" applyBorder="1"/>
    <xf numFmtId="0" fontId="41" fillId="2" borderId="0" xfId="6" applyNumberFormat="1" applyFont="1" applyBorder="1" applyAlignment="1">
      <alignment horizontal="right"/>
    </xf>
    <xf numFmtId="0" fontId="51" fillId="2" borderId="0" xfId="6" applyNumberFormat="1" applyFont="1" applyBorder="1" applyAlignment="1">
      <alignment horizontal="left"/>
    </xf>
    <xf numFmtId="41" fontId="9" fillId="14" borderId="0" xfId="6" applyNumberFormat="1" applyFill="1"/>
    <xf numFmtId="0" fontId="9" fillId="2" borderId="0" xfId="6" applyNumberFormat="1" applyAlignment="1">
      <alignment horizontal="right"/>
    </xf>
    <xf numFmtId="41" fontId="40" fillId="3" borderId="0" xfId="2" applyFont="1" applyAlignment="1">
      <alignment horizontal="right"/>
    </xf>
    <xf numFmtId="41" fontId="40" fillId="2" borderId="0" xfId="6" applyNumberFormat="1" applyFont="1"/>
    <xf numFmtId="0" fontId="9" fillId="5" borderId="0" xfId="6" applyNumberFormat="1" applyFill="1" applyBorder="1"/>
    <xf numFmtId="0" fontId="41" fillId="2" borderId="29" xfId="6" applyNumberFormat="1" applyFont="1" applyBorder="1" applyAlignment="1">
      <alignment horizontal="right"/>
    </xf>
    <xf numFmtId="0" fontId="41" fillId="2" borderId="26" xfId="6" applyNumberFormat="1" applyFont="1" applyBorder="1" applyAlignment="1">
      <alignment horizontal="right"/>
    </xf>
    <xf numFmtId="41" fontId="9" fillId="2" borderId="30" xfId="6" applyNumberFormat="1" applyBorder="1"/>
    <xf numFmtId="41" fontId="9" fillId="2" borderId="31" xfId="6" applyNumberFormat="1" applyBorder="1"/>
    <xf numFmtId="41" fontId="9" fillId="2" borderId="32" xfId="6" applyNumberFormat="1" applyBorder="1"/>
    <xf numFmtId="10" fontId="47" fillId="2" borderId="31" xfId="6" applyNumberFormat="1" applyFont="1" applyBorder="1"/>
    <xf numFmtId="166" fontId="9" fillId="2" borderId="31" xfId="6" applyNumberFormat="1" applyBorder="1"/>
    <xf numFmtId="2" fontId="9" fillId="2" borderId="32" xfId="6" applyNumberFormat="1" applyBorder="1" applyAlignment="1">
      <alignment horizontal="center"/>
    </xf>
    <xf numFmtId="0" fontId="9" fillId="2" borderId="32" xfId="6" applyNumberFormat="1" applyBorder="1" applyAlignment="1">
      <alignment horizontal="center"/>
    </xf>
    <xf numFmtId="0" fontId="44" fillId="2" borderId="26" xfId="6" applyNumberFormat="1" applyFont="1" applyBorder="1" applyAlignment="1">
      <alignment horizontal="right"/>
    </xf>
    <xf numFmtId="0" fontId="44" fillId="15" borderId="4" xfId="6" applyNumberFormat="1" applyFont="1" applyFill="1" applyBorder="1" applyAlignment="1">
      <alignment horizontal="center"/>
    </xf>
    <xf numFmtId="0" fontId="44" fillId="15" borderId="4" xfId="6" applyNumberFormat="1" applyFont="1" applyFill="1" applyBorder="1"/>
    <xf numFmtId="0" fontId="50" fillId="15" borderId="4" xfId="6" applyNumberFormat="1" applyFont="1" applyFill="1" applyBorder="1"/>
    <xf numFmtId="0" fontId="41" fillId="2" borderId="25" xfId="6" applyNumberFormat="1" applyFont="1" applyBorder="1"/>
    <xf numFmtId="0" fontId="8" fillId="2" borderId="0" xfId="6" applyNumberFormat="1" applyFont="1"/>
    <xf numFmtId="0" fontId="44" fillId="15" borderId="0" xfId="6" applyNumberFormat="1" applyFont="1" applyFill="1" applyAlignment="1">
      <alignment horizontal="center"/>
    </xf>
    <xf numFmtId="0" fontId="50" fillId="15" borderId="0" xfId="6" applyNumberFormat="1" applyFont="1" applyFill="1" applyAlignment="1">
      <alignment horizontal="center"/>
    </xf>
    <xf numFmtId="0" fontId="41" fillId="2" borderId="6" xfId="6" applyNumberFormat="1" applyFont="1" applyBorder="1"/>
    <xf numFmtId="0" fontId="52" fillId="14" borderId="0" xfId="6" applyNumberFormat="1" applyFont="1" applyFill="1"/>
    <xf numFmtId="0" fontId="53" fillId="13" borderId="34" xfId="10" applyNumberFormat="1" applyFont="1" applyBorder="1" applyAlignment="1">
      <alignment horizontal="left"/>
    </xf>
    <xf numFmtId="0" fontId="53" fillId="13" borderId="35" xfId="10" applyNumberFormat="1" applyFont="1" applyBorder="1" applyAlignment="1">
      <alignment horizontal="left"/>
    </xf>
    <xf numFmtId="0" fontId="54" fillId="2" borderId="0" xfId="6" applyNumberFormat="1" applyFont="1" applyAlignment="1">
      <alignment horizontal="center"/>
    </xf>
    <xf numFmtId="0" fontId="40" fillId="2" borderId="36" xfId="6" applyNumberFormat="1" applyFont="1" applyBorder="1"/>
    <xf numFmtId="0" fontId="9" fillId="2" borderId="39" xfId="6" applyNumberFormat="1" applyBorder="1" applyAlignment="1">
      <alignment horizontal="centerContinuous"/>
    </xf>
    <xf numFmtId="0" fontId="55" fillId="2" borderId="39" xfId="6" applyNumberFormat="1" applyFont="1" applyBorder="1" applyAlignment="1">
      <alignment horizontal="centerContinuous"/>
    </xf>
    <xf numFmtId="0" fontId="55" fillId="2" borderId="34" xfId="6" applyNumberFormat="1" applyFont="1" applyBorder="1" applyAlignment="1">
      <alignment horizontal="centerContinuous"/>
    </xf>
    <xf numFmtId="0" fontId="56" fillId="13" borderId="37" xfId="10" applyNumberFormat="1" applyFont="1" applyBorder="1" applyAlignment="1">
      <alignment horizontal="centerContinuous"/>
    </xf>
    <xf numFmtId="0" fontId="53" fillId="13" borderId="21" xfId="10" applyNumberFormat="1" applyFont="1" applyBorder="1" applyAlignment="1">
      <alignment horizontal="centerContinuous"/>
    </xf>
    <xf numFmtId="0" fontId="53" fillId="13" borderId="21" xfId="10" applyNumberFormat="1" applyFont="1" applyBorder="1" applyAlignment="1">
      <alignment horizontal="left"/>
    </xf>
    <xf numFmtId="0" fontId="57" fillId="0" borderId="0" xfId="6" applyNumberFormat="1" applyFont="1" applyFill="1"/>
    <xf numFmtId="0" fontId="57" fillId="0" borderId="0" xfId="6" applyNumberFormat="1" applyFont="1" applyFill="1" applyAlignment="1">
      <alignment horizontal="center"/>
    </xf>
    <xf numFmtId="0" fontId="57" fillId="0" borderId="6" xfId="6" applyNumberFormat="1" applyFont="1" applyFill="1" applyBorder="1"/>
    <xf numFmtId="0" fontId="57" fillId="14" borderId="0" xfId="6" applyNumberFormat="1" applyFont="1" applyFill="1"/>
    <xf numFmtId="0" fontId="57" fillId="14" borderId="2" xfId="6" applyNumberFormat="1" applyFont="1" applyFill="1" applyBorder="1"/>
    <xf numFmtId="39" fontId="4" fillId="10" borderId="4" xfId="0" applyNumberFormat="1" applyFont="1" applyFill="1" applyBorder="1"/>
    <xf numFmtId="44" fontId="0" fillId="10" borderId="0" xfId="4" applyFont="1" applyFill="1"/>
    <xf numFmtId="0" fontId="0" fillId="10" borderId="0" xfId="0" applyFill="1"/>
    <xf numFmtId="44" fontId="0" fillId="10" borderId="4" xfId="4" applyFont="1" applyFill="1" applyBorder="1"/>
    <xf numFmtId="44" fontId="0" fillId="10" borderId="0" xfId="0" applyNumberFormat="1" applyFill="1"/>
    <xf numFmtId="44" fontId="0" fillId="10" borderId="4" xfId="0" applyNumberFormat="1" applyFill="1" applyBorder="1"/>
    <xf numFmtId="9" fontId="0" fillId="10" borderId="0" xfId="0" applyNumberFormat="1" applyFill="1"/>
    <xf numFmtId="10" fontId="19" fillId="0" borderId="0" xfId="7" applyNumberFormat="1" applyFill="1"/>
    <xf numFmtId="0" fontId="0" fillId="0" borderId="0" xfId="0" applyAlignment="1">
      <alignment wrapText="1"/>
    </xf>
    <xf numFmtId="0" fontId="11" fillId="0" borderId="4" xfId="0" applyFont="1" applyBorder="1" applyAlignment="1">
      <alignment horizontal="center"/>
    </xf>
    <xf numFmtId="180" fontId="0" fillId="0" borderId="0" xfId="4" applyNumberFormat="1" applyFont="1" applyAlignment="1">
      <alignment vertical="center"/>
    </xf>
    <xf numFmtId="9" fontId="0" fillId="0" borderId="0" xfId="8" applyFont="1" applyAlignment="1">
      <alignment vertical="center"/>
    </xf>
    <xf numFmtId="0" fontId="0" fillId="0" borderId="0" xfId="0" applyAlignment="1">
      <alignment vertical="center"/>
    </xf>
    <xf numFmtId="164" fontId="3" fillId="0" borderId="0" xfId="0" applyNumberFormat="1" applyFont="1" applyFill="1"/>
    <xf numFmtId="164" fontId="2" fillId="0" borderId="0" xfId="0" applyNumberFormat="1" applyFont="1" applyFill="1"/>
    <xf numFmtId="180" fontId="10" fillId="12" borderId="0" xfId="4" applyNumberFormat="1" applyFont="1" applyFill="1"/>
    <xf numFmtId="0" fontId="0" fillId="0" borderId="0" xfId="0" applyAlignment="1">
      <alignment vertical="center" wrapText="1"/>
    </xf>
    <xf numFmtId="0" fontId="58" fillId="0" borderId="0" xfId="0" applyFont="1"/>
    <xf numFmtId="0" fontId="3" fillId="0" borderId="0" xfId="0" applyFont="1" applyAlignment="1">
      <alignment horizontal="center"/>
    </xf>
    <xf numFmtId="3" fontId="0" fillId="6" borderId="0" xfId="0" applyNumberFormat="1" applyFill="1" applyBorder="1"/>
    <xf numFmtId="43" fontId="0" fillId="0" borderId="0" xfId="1" applyNumberFormat="1" applyFont="1"/>
    <xf numFmtId="178" fontId="0" fillId="0" borderId="4" xfId="1" applyNumberFormat="1" applyFont="1" applyBorder="1"/>
    <xf numFmtId="44" fontId="0" fillId="0" borderId="3" xfId="0" applyNumberFormat="1" applyBorder="1"/>
    <xf numFmtId="39" fontId="27" fillId="0" borderId="2" xfId="0" applyNumberFormat="1" applyFont="1" applyBorder="1"/>
    <xf numFmtId="0" fontId="27" fillId="0" borderId="2" xfId="0" applyFont="1" applyBorder="1"/>
    <xf numFmtId="17" fontId="3" fillId="0" borderId="0" xfId="0" applyNumberFormat="1" applyFont="1" applyAlignment="1">
      <alignment horizontal="center"/>
    </xf>
    <xf numFmtId="38" fontId="27" fillId="0" borderId="0" xfId="0" applyNumberFormat="1" applyFont="1" applyAlignment="1">
      <alignment horizontal="right"/>
    </xf>
    <xf numFmtId="2" fontId="12" fillId="6" borderId="0" xfId="0" applyNumberFormat="1" applyFont="1" applyFill="1"/>
    <xf numFmtId="2" fontId="27" fillId="6" borderId="0" xfId="0" applyNumberFormat="1" applyFont="1" applyFill="1"/>
    <xf numFmtId="14" fontId="3" fillId="0" borderId="0" xfId="0" applyNumberFormat="1" applyFont="1" applyAlignment="1">
      <alignment horizontal="left"/>
    </xf>
    <xf numFmtId="43" fontId="0" fillId="0" borderId="3" xfId="3" applyNumberFormat="1" applyFont="1" applyBorder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quotePrefix="1" applyFont="1" applyAlignment="1">
      <alignment horizontal="left"/>
    </xf>
    <xf numFmtId="0" fontId="0" fillId="0" borderId="0" xfId="0" applyAlignment="1">
      <alignment horizontal="center"/>
    </xf>
    <xf numFmtId="4" fontId="22" fillId="6" borderId="0" xfId="7" applyNumberFormat="1" applyFont="1" applyFill="1"/>
    <xf numFmtId="0" fontId="1" fillId="0" borderId="0" xfId="0" applyFont="1" applyAlignment="1">
      <alignment horizontal="center"/>
    </xf>
    <xf numFmtId="39" fontId="0" fillId="5" borderId="0" xfId="0" applyNumberFormat="1" applyFill="1"/>
    <xf numFmtId="0" fontId="1" fillId="0" borderId="0" xfId="0" applyFont="1" applyFill="1"/>
    <xf numFmtId="38" fontId="27" fillId="0" borderId="0" xfId="0" applyNumberFormat="1" applyFont="1"/>
    <xf numFmtId="0" fontId="1" fillId="0" borderId="0" xfId="0" quotePrefix="1" applyFont="1"/>
    <xf numFmtId="49" fontId="1" fillId="0" borderId="0" xfId="0" applyNumberFormat="1" applyFont="1"/>
    <xf numFmtId="0" fontId="1" fillId="0" borderId="2" xfId="0" quotePrefix="1" applyFont="1" applyBorder="1"/>
    <xf numFmtId="0" fontId="1" fillId="6" borderId="0" xfId="0" applyFont="1" applyFill="1"/>
    <xf numFmtId="7" fontId="27" fillId="0" borderId="0" xfId="0" applyNumberFormat="1" applyFont="1"/>
    <xf numFmtId="44" fontId="27" fillId="0" borderId="0" xfId="5" applyFont="1"/>
    <xf numFmtId="171" fontId="27" fillId="0" borderId="0" xfId="0" applyNumberFormat="1" applyFont="1"/>
    <xf numFmtId="0" fontId="19" fillId="6" borderId="0" xfId="7" applyFill="1"/>
    <xf numFmtId="178" fontId="19" fillId="0" borderId="0" xfId="1" applyNumberFormat="1" applyFont="1"/>
    <xf numFmtId="0" fontId="60" fillId="0" borderId="0" xfId="7" applyFont="1"/>
    <xf numFmtId="41" fontId="60" fillId="0" borderId="0" xfId="7" applyNumberFormat="1" applyFont="1"/>
    <xf numFmtId="0" fontId="29" fillId="6" borderId="0" xfId="0" applyFont="1" applyFill="1"/>
    <xf numFmtId="0" fontId="59" fillId="6" borderId="0" xfId="0" applyFont="1" applyFill="1"/>
    <xf numFmtId="44" fontId="27" fillId="0" borderId="0" xfId="4" applyFont="1"/>
    <xf numFmtId="7" fontId="0" fillId="0" borderId="0" xfId="5" applyNumberFormat="1" applyFont="1" applyBorder="1"/>
    <xf numFmtId="14" fontId="1" fillId="0" borderId="0" xfId="0" quotePrefix="1" applyNumberFormat="1" applyFont="1"/>
    <xf numFmtId="14" fontId="1" fillId="0" borderId="1" xfId="0" applyNumberFormat="1" applyFont="1" applyBorder="1" applyAlignment="1">
      <alignment horizontal="center"/>
    </xf>
    <xf numFmtId="49" fontId="1" fillId="0" borderId="0" xfId="0" quotePrefix="1" applyNumberFormat="1" applyFont="1"/>
    <xf numFmtId="166" fontId="2" fillId="0" borderId="0" xfId="0" applyNumberFormat="1" applyFont="1" applyProtection="1"/>
    <xf numFmtId="173" fontId="0" fillId="0" borderId="4" xfId="0" applyNumberFormat="1" applyBorder="1"/>
    <xf numFmtId="0" fontId="1" fillId="0" borderId="4" xfId="0" applyFont="1" applyBorder="1" applyAlignment="1">
      <alignment horizontal="center"/>
    </xf>
    <xf numFmtId="14" fontId="3" fillId="0" borderId="0" xfId="0" quotePrefix="1" applyNumberFormat="1" applyFont="1"/>
    <xf numFmtId="15" fontId="1" fillId="0" borderId="0" xfId="0" quotePrefix="1" applyNumberFormat="1" applyFont="1" applyAlignment="1">
      <alignment horizontal="left"/>
    </xf>
    <xf numFmtId="0" fontId="0" fillId="0" borderId="0" xfId="0" applyAlignment="1">
      <alignment horizontal="center"/>
    </xf>
    <xf numFmtId="0" fontId="61" fillId="6" borderId="0" xfId="0" applyFont="1" applyFill="1"/>
    <xf numFmtId="39" fontId="2" fillId="0" borderId="0" xfId="0" applyNumberFormat="1" applyFont="1" applyFill="1" applyBorder="1"/>
    <xf numFmtId="3" fontId="22" fillId="6" borderId="0" xfId="7" applyNumberFormat="1" applyFont="1" applyFill="1"/>
    <xf numFmtId="0" fontId="0" fillId="0" borderId="0" xfId="0" applyAlignment="1">
      <alignment horizontal="center"/>
    </xf>
    <xf numFmtId="41" fontId="19" fillId="0" borderId="0" xfId="7" applyNumberFormat="1" applyFont="1" applyBorder="1" applyAlignment="1">
      <alignment horizontal="fill"/>
    </xf>
    <xf numFmtId="43" fontId="19" fillId="0" borderId="4" xfId="7" applyNumberFormat="1" applyBorder="1"/>
    <xf numFmtId="41" fontId="24" fillId="0" borderId="0" xfId="7" applyNumberFormat="1" applyFont="1"/>
    <xf numFmtId="41" fontId="24" fillId="0" borderId="4" xfId="7" applyNumberFormat="1" applyFont="1" applyBorder="1" applyAlignment="1">
      <alignment horizontal="fill"/>
    </xf>
    <xf numFmtId="41" fontId="19" fillId="0" borderId="4" xfId="7" applyNumberFormat="1" applyFont="1" applyBorder="1" applyAlignment="1">
      <alignment horizontal="fill"/>
    </xf>
    <xf numFmtId="4" fontId="22" fillId="0" borderId="5" xfId="7" applyNumberFormat="1" applyFont="1" applyBorder="1"/>
    <xf numFmtId="176" fontId="19" fillId="0" borderId="4" xfId="7" applyNumberFormat="1" applyBorder="1"/>
    <xf numFmtId="0" fontId="24" fillId="0" borderId="0" xfId="7" applyFont="1"/>
    <xf numFmtId="176" fontId="24" fillId="0" borderId="5" xfId="7" applyNumberFormat="1" applyFont="1" applyBorder="1"/>
    <xf numFmtId="41" fontId="19" fillId="5" borderId="0" xfId="7" applyNumberFormat="1" applyFont="1" applyFill="1"/>
    <xf numFmtId="41" fontId="19" fillId="5" borderId="0" xfId="7" applyNumberFormat="1" applyFill="1"/>
    <xf numFmtId="43" fontId="0" fillId="0" borderId="0" xfId="0" applyNumberFormat="1" applyBorder="1"/>
    <xf numFmtId="0" fontId="19" fillId="0" borderId="31" xfId="7" applyBorder="1"/>
    <xf numFmtId="180" fontId="19" fillId="0" borderId="0" xfId="4" applyNumberFormat="1" applyFont="1" applyBorder="1"/>
    <xf numFmtId="4" fontId="22" fillId="8" borderId="0" xfId="7" applyNumberFormat="1" applyFont="1" applyFill="1" applyBorder="1"/>
    <xf numFmtId="41" fontId="19" fillId="0" borderId="0" xfId="7" applyNumberFormat="1" applyBorder="1"/>
    <xf numFmtId="10" fontId="19" fillId="0" borderId="0" xfId="7" applyNumberFormat="1" applyBorder="1"/>
    <xf numFmtId="41" fontId="19" fillId="0" borderId="0" xfId="7" applyNumberFormat="1" applyFill="1" applyBorder="1"/>
    <xf numFmtId="3" fontId="60" fillId="0" borderId="0" xfId="7" applyNumberFormat="1" applyFont="1"/>
    <xf numFmtId="0" fontId="19" fillId="6" borderId="22" xfId="7" applyFill="1" applyBorder="1"/>
    <xf numFmtId="0" fontId="19" fillId="6" borderId="0" xfId="7" applyFill="1" applyBorder="1"/>
    <xf numFmtId="0" fontId="22" fillId="16" borderId="0" xfId="7" applyFont="1" applyFill="1"/>
    <xf numFmtId="41" fontId="19" fillId="16" borderId="0" xfId="7" applyNumberFormat="1" applyFill="1"/>
    <xf numFmtId="9" fontId="22" fillId="6" borderId="0" xfId="7" applyNumberFormat="1" applyFont="1" applyFill="1"/>
    <xf numFmtId="164" fontId="62" fillId="6" borderId="0" xfId="0" applyNumberFormat="1" applyFont="1" applyFill="1"/>
    <xf numFmtId="0" fontId="1" fillId="6" borderId="0" xfId="0" applyFont="1" applyFill="1" applyAlignment="1">
      <alignment horizontal="center"/>
    </xf>
    <xf numFmtId="14" fontId="1" fillId="0" borderId="0" xfId="0" applyNumberFormat="1" applyFont="1"/>
    <xf numFmtId="0" fontId="0" fillId="0" borderId="0" xfId="0" applyAlignment="1">
      <alignment horizontal="center"/>
    </xf>
    <xf numFmtId="17" fontId="1" fillId="0" borderId="0" xfId="0" quotePrefix="1" applyNumberFormat="1" applyFont="1"/>
    <xf numFmtId="41" fontId="1" fillId="0" borderId="0" xfId="0" applyNumberFormat="1" applyFont="1"/>
    <xf numFmtId="41" fontId="1" fillId="0" borderId="4" xfId="0" applyNumberFormat="1" applyFont="1" applyBorder="1"/>
    <xf numFmtId="178" fontId="0" fillId="0" borderId="0" xfId="0" applyNumberFormat="1"/>
    <xf numFmtId="4" fontId="22" fillId="6" borderId="22" xfId="7" applyNumberFormat="1" applyFont="1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39" fontId="3" fillId="0" borderId="0" xfId="0" applyNumberFormat="1" applyFont="1" applyBorder="1"/>
    <xf numFmtId="38" fontId="2" fillId="0" borderId="0" xfId="0" applyNumberFormat="1" applyFont="1" applyBorder="1" applyAlignment="1">
      <alignment horizontal="right"/>
    </xf>
    <xf numFmtId="38" fontId="0" fillId="0" borderId="0" xfId="0" applyNumberFormat="1" applyBorder="1" applyAlignment="1">
      <alignment horizontal="right"/>
    </xf>
    <xf numFmtId="0" fontId="27" fillId="0" borderId="0" xfId="0" applyFont="1" applyBorder="1" applyAlignment="1">
      <alignment horizontal="right"/>
    </xf>
    <xf numFmtId="40" fontId="2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178" fontId="27" fillId="6" borderId="0" xfId="3" applyNumberFormat="1" applyFont="1" applyFill="1"/>
    <xf numFmtId="14" fontId="0" fillId="6" borderId="0" xfId="0" applyNumberFormat="1" applyFill="1"/>
    <xf numFmtId="14" fontId="1" fillId="6" borderId="0" xfId="0" applyNumberFormat="1" applyFont="1" applyFill="1"/>
    <xf numFmtId="0" fontId="27" fillId="6" borderId="0" xfId="0" applyFont="1" applyFill="1"/>
    <xf numFmtId="0" fontId="1" fillId="0" borderId="0" xfId="0" quotePrefix="1" applyFont="1" applyAlignment="1"/>
    <xf numFmtId="0" fontId="0" fillId="0" borderId="0" xfId="0" applyAlignment="1"/>
    <xf numFmtId="39" fontId="2" fillId="6" borderId="0" xfId="0" applyNumberFormat="1" applyFont="1" applyFill="1"/>
    <xf numFmtId="172" fontId="27" fillId="6" borderId="0" xfId="0" applyNumberFormat="1" applyFont="1" applyFill="1"/>
    <xf numFmtId="37" fontId="0" fillId="5" borderId="0" xfId="0" applyNumberFormat="1" applyFill="1"/>
    <xf numFmtId="178" fontId="0" fillId="5" borderId="0" xfId="1" applyNumberFormat="1" applyFont="1" applyFill="1"/>
    <xf numFmtId="44" fontId="0" fillId="5" borderId="4" xfId="4" applyFont="1" applyFill="1" applyBorder="1"/>
    <xf numFmtId="16" fontId="1" fillId="0" borderId="0" xfId="0" quotePrefix="1" applyNumberFormat="1" applyFont="1"/>
    <xf numFmtId="0" fontId="0" fillId="0" borderId="0" xfId="0" applyAlignment="1">
      <alignment horizontal="center"/>
    </xf>
    <xf numFmtId="0" fontId="9" fillId="2" borderId="30" xfId="6" applyNumberFormat="1" applyBorder="1"/>
    <xf numFmtId="0" fontId="9" fillId="2" borderId="31" xfId="6" applyNumberFormat="1" applyBorder="1"/>
    <xf numFmtId="0" fontId="33" fillId="2" borderId="31" xfId="6" applyNumberFormat="1" applyFont="1" applyBorder="1"/>
    <xf numFmtId="0" fontId="9" fillId="2" borderId="32" xfId="6" applyNumberFormat="1" applyBorder="1"/>
    <xf numFmtId="173" fontId="35" fillId="2" borderId="30" xfId="6" applyNumberFormat="1" applyFont="1" applyBorder="1" applyAlignment="1">
      <alignment horizontal="center"/>
    </xf>
    <xf numFmtId="0" fontId="9" fillId="2" borderId="31" xfId="6" applyNumberFormat="1" applyBorder="1" applyAlignment="1">
      <alignment horizontal="left"/>
    </xf>
    <xf numFmtId="173" fontId="35" fillId="2" borderId="31" xfId="6" applyNumberFormat="1" applyFont="1" applyBorder="1" applyAlignment="1">
      <alignment horizontal="center"/>
    </xf>
    <xf numFmtId="0" fontId="9" fillId="2" borderId="32" xfId="6" applyNumberFormat="1" applyBorder="1" applyAlignment="1">
      <alignment horizontal="left"/>
    </xf>
    <xf numFmtId="0" fontId="37" fillId="2" borderId="30" xfId="6" applyNumberFormat="1" applyFont="1" applyBorder="1" applyAlignment="1">
      <alignment horizontal="center"/>
    </xf>
    <xf numFmtId="0" fontId="37" fillId="2" borderId="31" xfId="6" applyNumberFormat="1" applyFont="1" applyBorder="1" applyAlignment="1">
      <alignment horizontal="center"/>
    </xf>
    <xf numFmtId="0" fontId="9" fillId="2" borderId="31" xfId="6" quotePrefix="1" applyNumberFormat="1" applyFont="1" applyBorder="1" applyAlignment="1">
      <alignment horizontal="left"/>
    </xf>
    <xf numFmtId="39" fontId="9" fillId="2" borderId="32" xfId="6" applyNumberFormat="1" applyFont="1" applyBorder="1" applyAlignment="1">
      <alignment horizontal="center"/>
    </xf>
    <xf numFmtId="0" fontId="9" fillId="2" borderId="30" xfId="6" applyNumberFormat="1" applyBorder="1" applyAlignment="1">
      <alignment horizontal="centerContinuous"/>
    </xf>
    <xf numFmtId="0" fontId="9" fillId="2" borderId="32" xfId="6" applyNumberFormat="1" applyBorder="1" applyAlignment="1">
      <alignment horizontal="centerContinuous"/>
    </xf>
    <xf numFmtId="10" fontId="44" fillId="2" borderId="4" xfId="6" applyNumberFormat="1" applyFont="1" applyBorder="1" applyAlignment="1">
      <alignment horizontal="center" vertical="center"/>
    </xf>
    <xf numFmtId="0" fontId="41" fillId="2" borderId="4" xfId="6" applyNumberFormat="1" applyFont="1" applyBorder="1" applyAlignment="1">
      <alignment horizontal="right" vertical="center"/>
    </xf>
    <xf numFmtId="0" fontId="50" fillId="15" borderId="32" xfId="6" applyNumberFormat="1" applyFont="1" applyFill="1" applyBorder="1" applyAlignment="1">
      <alignment horizontal="left"/>
    </xf>
    <xf numFmtId="0" fontId="41" fillId="2" borderId="40" xfId="6" applyNumberFormat="1" applyFont="1" applyBorder="1" applyAlignment="1">
      <alignment horizontal="right"/>
    </xf>
    <xf numFmtId="41" fontId="41" fillId="2" borderId="41" xfId="6" applyNumberFormat="1" applyFont="1" applyBorder="1"/>
    <xf numFmtId="177" fontId="40" fillId="0" borderId="42" xfId="11" applyNumberFormat="1" applyFont="1" applyFill="1" applyBorder="1"/>
    <xf numFmtId="41" fontId="9" fillId="2" borderId="43" xfId="6" applyNumberFormat="1" applyBorder="1"/>
    <xf numFmtId="41" fontId="9" fillId="2" borderId="44" xfId="6" applyNumberFormat="1" applyBorder="1"/>
    <xf numFmtId="41" fontId="9" fillId="2" borderId="45" xfId="6" applyNumberFormat="1" applyBorder="1"/>
    <xf numFmtId="10" fontId="47" fillId="2" borderId="44" xfId="6" applyNumberFormat="1" applyFont="1" applyBorder="1"/>
    <xf numFmtId="166" fontId="9" fillId="2" borderId="44" xfId="6" applyNumberFormat="1" applyBorder="1"/>
    <xf numFmtId="2" fontId="9" fillId="2" borderId="45" xfId="6" applyNumberFormat="1" applyBorder="1" applyAlignment="1">
      <alignment horizontal="center"/>
    </xf>
    <xf numFmtId="0" fontId="9" fillId="2" borderId="45" xfId="6" applyNumberFormat="1" applyBorder="1" applyAlignment="1">
      <alignment horizontal="center"/>
    </xf>
    <xf numFmtId="10" fontId="40" fillId="0" borderId="42" xfId="11" applyFont="1" applyFill="1" applyBorder="1"/>
    <xf numFmtId="5" fontId="41" fillId="2" borderId="46" xfId="6" applyNumberFormat="1" applyFont="1" applyBorder="1"/>
    <xf numFmtId="41" fontId="41" fillId="2" borderId="46" xfId="6" applyNumberFormat="1" applyFont="1" applyBorder="1"/>
    <xf numFmtId="0" fontId="41" fillId="2" borderId="47" xfId="6" applyNumberFormat="1" applyFont="1" applyBorder="1" applyAlignment="1">
      <alignment horizontal="center"/>
    </xf>
    <xf numFmtId="41" fontId="40" fillId="0" borderId="42" xfId="2" applyFont="1" applyFill="1" applyBorder="1">
      <alignment horizontal="left"/>
    </xf>
    <xf numFmtId="41" fontId="40" fillId="0" borderId="24" xfId="2" applyFont="1" applyFill="1" applyBorder="1">
      <alignment horizontal="left"/>
    </xf>
    <xf numFmtId="0" fontId="22" fillId="6" borderId="0" xfId="7" applyFont="1" applyFill="1"/>
    <xf numFmtId="180" fontId="0" fillId="0" borderId="0" xfId="0" applyNumberFormat="1" applyProtection="1"/>
    <xf numFmtId="171" fontId="27" fillId="0" borderId="16" xfId="0" applyNumberFormat="1" applyFont="1" applyFill="1" applyBorder="1"/>
    <xf numFmtId="44" fontId="0" fillId="0" borderId="0" xfId="0" applyNumberFormat="1" applyBorder="1"/>
    <xf numFmtId="39" fontId="1" fillId="0" borderId="0" xfId="0" applyNumberFormat="1" applyFont="1"/>
    <xf numFmtId="14" fontId="1" fillId="0" borderId="0" xfId="0" applyNumberFormat="1" applyFont="1" applyAlignment="1">
      <alignment horizontal="center"/>
    </xf>
    <xf numFmtId="14" fontId="1" fillId="0" borderId="0" xfId="0" quotePrefix="1" applyNumberFormat="1" applyFont="1" applyAlignment="1">
      <alignment horizontal="center"/>
    </xf>
    <xf numFmtId="0" fontId="9" fillId="2" borderId="38" xfId="6" applyNumberFormat="1" applyBorder="1" applyAlignment="1">
      <alignment horizontal="center"/>
    </xf>
    <xf numFmtId="0" fontId="9" fillId="2" borderId="21" xfId="6" applyNumberFormat="1" applyBorder="1" applyAlignment="1">
      <alignment horizontal="center"/>
    </xf>
    <xf numFmtId="0" fontId="9" fillId="2" borderId="37" xfId="6" applyNumberFormat="1" applyBorder="1" applyAlignment="1">
      <alignment horizontal="center"/>
    </xf>
    <xf numFmtId="0" fontId="38" fillId="14" borderId="0" xfId="6" applyNumberFormat="1" applyFont="1" applyFill="1" applyAlignment="1">
      <alignment horizontal="center"/>
    </xf>
    <xf numFmtId="0" fontId="40" fillId="14" borderId="31" xfId="6" applyNumberFormat="1" applyFont="1" applyFill="1" applyBorder="1" applyAlignment="1">
      <alignment horizontal="center"/>
    </xf>
    <xf numFmtId="0" fontId="40" fillId="14" borderId="0" xfId="6" applyNumberFormat="1" applyFont="1" applyFill="1" applyBorder="1" applyAlignment="1">
      <alignment horizontal="center"/>
    </xf>
    <xf numFmtId="0" fontId="40" fillId="14" borderId="33" xfId="6" applyNumberFormat="1" applyFont="1" applyFill="1" applyBorder="1" applyAlignment="1">
      <alignment horizontal="center"/>
    </xf>
    <xf numFmtId="0" fontId="40" fillId="14" borderId="0" xfId="6" applyNumberFormat="1" applyFont="1" applyFill="1" applyAlignment="1">
      <alignment horizontal="center"/>
    </xf>
    <xf numFmtId="180" fontId="0" fillId="0" borderId="0" xfId="4" applyNumberFormat="1" applyFont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2">
    <cellStyle name="Accent5" xfId="10" builtinId="45"/>
    <cellStyle name="Comma" xfId="1" builtinId="3"/>
    <cellStyle name="Comma 2" xfId="2"/>
    <cellStyle name="Comma 3" xfId="3"/>
    <cellStyle name="Currency" xfId="4" builtinId="4"/>
    <cellStyle name="Currency 2" xfId="5"/>
    <cellStyle name="Normal" xfId="0" builtinId="0"/>
    <cellStyle name="Normal 2" xfId="6"/>
    <cellStyle name="Normal 3" xfId="7"/>
    <cellStyle name="Percent" xfId="8" builtinId="5"/>
    <cellStyle name="Percent 2" xfId="9"/>
    <cellStyle name="Percent 3" xfId="11"/>
  </cellStyles>
  <dxfs count="15">
    <dxf>
      <font>
        <condense val="0"/>
        <extend val="0"/>
        <color indexed="17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8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1.xml"/><Relationship Id="rId61" Type="http://schemas.openxmlformats.org/officeDocument/2006/relationships/customXml" Target="../customXml/item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14</xdr:row>
          <xdr:rowOff>171450</xdr:rowOff>
        </xdr:from>
        <xdr:to>
          <xdr:col>2</xdr:col>
          <xdr:colOff>361950</xdr:colOff>
          <xdr:row>16</xdr:row>
          <xdr:rowOff>19050</xdr:rowOff>
        </xdr:to>
        <xdr:sp macro="" textlink="">
          <xdr:nvSpPr>
            <xdr:cNvPr id="219137" name="CheckBox1" hidden="1">
              <a:extLst>
                <a:ext uri="{63B3BB69-23CF-44E3-9099-C40C66FF867C}">
                  <a14:compatExt spid="_x0000_s219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14</xdr:row>
          <xdr:rowOff>171450</xdr:rowOff>
        </xdr:from>
        <xdr:to>
          <xdr:col>2</xdr:col>
          <xdr:colOff>361950</xdr:colOff>
          <xdr:row>16</xdr:row>
          <xdr:rowOff>19050</xdr:rowOff>
        </xdr:to>
        <xdr:sp macro="" textlink="">
          <xdr:nvSpPr>
            <xdr:cNvPr id="259073" name="CheckBox1" hidden="1">
              <a:extLst>
                <a:ext uri="{63B3BB69-23CF-44E3-9099-C40C66FF867C}">
                  <a14:compatExt spid="_x0000_s259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14</xdr:row>
          <xdr:rowOff>171450</xdr:rowOff>
        </xdr:from>
        <xdr:to>
          <xdr:col>2</xdr:col>
          <xdr:colOff>361950</xdr:colOff>
          <xdr:row>16</xdr:row>
          <xdr:rowOff>19050</xdr:rowOff>
        </xdr:to>
        <xdr:sp macro="" textlink="">
          <xdr:nvSpPr>
            <xdr:cNvPr id="261121" name="CheckBox1" hidden="1">
              <a:extLst>
                <a:ext uri="{63B3BB69-23CF-44E3-9099-C40C66FF867C}">
                  <a14:compatExt spid="_x0000_s26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14</xdr:row>
          <xdr:rowOff>171450</xdr:rowOff>
        </xdr:from>
        <xdr:to>
          <xdr:col>2</xdr:col>
          <xdr:colOff>361950</xdr:colOff>
          <xdr:row>16</xdr:row>
          <xdr:rowOff>19050</xdr:rowOff>
        </xdr:to>
        <xdr:sp macro="" textlink="">
          <xdr:nvSpPr>
            <xdr:cNvPr id="264193" name="CheckBox1" hidden="1">
              <a:extLst>
                <a:ext uri="{63B3BB69-23CF-44E3-9099-C40C66FF867C}">
                  <a14:compatExt spid="_x0000_s26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4.bin"/><Relationship Id="rId5" Type="http://schemas.openxmlformats.org/officeDocument/2006/relationships/image" Target="../media/image1.emf"/><Relationship Id="rId4" Type="http://schemas.openxmlformats.org/officeDocument/2006/relationships/control" Target="../activeX/activeX3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6.bin"/><Relationship Id="rId5" Type="http://schemas.openxmlformats.org/officeDocument/2006/relationships/image" Target="../media/image1.emf"/><Relationship Id="rId4" Type="http://schemas.openxmlformats.org/officeDocument/2006/relationships/control" Target="../activeX/activeX4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6"/>
  <sheetViews>
    <sheetView workbookViewId="0">
      <selection activeCell="E26" sqref="E26"/>
    </sheetView>
  </sheetViews>
  <sheetFormatPr defaultRowHeight="12.75"/>
  <cols>
    <col min="1" max="1" width="9.42578125" bestFit="1" customWidth="1"/>
    <col min="3" max="3" width="9.28515625" customWidth="1"/>
    <col min="4" max="5" width="12.7109375" customWidth="1"/>
    <col min="20" max="20" width="11.28515625" customWidth="1"/>
    <col min="29" max="29" width="11" customWidth="1"/>
  </cols>
  <sheetData>
    <row r="1" spans="1:35">
      <c r="A1" t="s">
        <v>0</v>
      </c>
    </row>
    <row r="3" spans="1:35">
      <c r="A3" t="s">
        <v>274</v>
      </c>
      <c r="E3" s="643" t="s">
        <v>1342</v>
      </c>
      <c r="F3" s="643" t="s">
        <v>689</v>
      </c>
    </row>
    <row r="5" spans="1:35">
      <c r="A5" s="652" t="s">
        <v>1476</v>
      </c>
    </row>
    <row r="7" spans="1:35">
      <c r="B7" s="16" t="s">
        <v>126</v>
      </c>
      <c r="AD7" s="2" t="s">
        <v>127</v>
      </c>
      <c r="AE7" s="2" t="s">
        <v>128</v>
      </c>
      <c r="AH7" s="16" t="s">
        <v>129</v>
      </c>
    </row>
    <row r="8" spans="1:35">
      <c r="E8" s="28"/>
      <c r="M8" s="16" t="s">
        <v>130</v>
      </c>
      <c r="T8" s="2" t="s">
        <v>131</v>
      </c>
      <c r="U8" s="2" t="s">
        <v>132</v>
      </c>
      <c r="V8" s="2" t="s">
        <v>133</v>
      </c>
      <c r="W8" s="2" t="s">
        <v>134</v>
      </c>
      <c r="X8" s="2" t="s">
        <v>135</v>
      </c>
      <c r="Z8" s="2" t="s">
        <v>136</v>
      </c>
      <c r="AA8" s="16" t="s">
        <v>137</v>
      </c>
      <c r="AB8" s="2" t="s">
        <v>138</v>
      </c>
      <c r="AC8" s="2" t="s">
        <v>139</v>
      </c>
      <c r="AD8" s="2" t="s">
        <v>140</v>
      </c>
      <c r="AH8" s="16" t="s">
        <v>141</v>
      </c>
    </row>
    <row r="9" spans="1:35">
      <c r="B9" s="16" t="s">
        <v>142</v>
      </c>
      <c r="C9" s="16" t="s">
        <v>143</v>
      </c>
      <c r="E9" s="28">
        <f>E11+E10</f>
        <v>2765512.6145557784</v>
      </c>
      <c r="F9" s="16" t="s">
        <v>144</v>
      </c>
      <c r="K9" s="29"/>
      <c r="M9" s="16" t="s">
        <v>145</v>
      </c>
      <c r="P9" s="16" t="s">
        <v>146</v>
      </c>
      <c r="T9" s="30">
        <f>$E$12*1.25</f>
        <v>3133338.4438406937</v>
      </c>
      <c r="U9" s="31">
        <f>100*(+T9/$E$13)</f>
        <v>310.09357321010975</v>
      </c>
      <c r="V9" s="32">
        <f>EXP(5.7226-(0.68367*LN(+U9)))</f>
        <v>6.0524992346096269</v>
      </c>
      <c r="W9" s="32">
        <f>(+V9*U9)/100</f>
        <v>18.768411145115536</v>
      </c>
      <c r="X9" s="31">
        <f>100*((((W9/100)-((W9/100)-0.03574)*$E$25)-0.03574-0.00619)/0.344)</f>
        <v>33.09472326930603</v>
      </c>
      <c r="Y9">
        <v>0</v>
      </c>
      <c r="Z9" s="31">
        <f>X9+Y9</f>
        <v>33.09472326930603</v>
      </c>
      <c r="AA9" s="31">
        <f>100*($E$21*$E$23+($E$22*(Z9/100))/(1-$E$25))</f>
        <v>27.135232862764074</v>
      </c>
      <c r="AB9" s="32">
        <f>AA9/U9</f>
        <v>8.7506595450716054E-2</v>
      </c>
      <c r="AC9" s="30">
        <f>$E$12/(1-AB9)</f>
        <v>2747056.2993391687</v>
      </c>
      <c r="AD9" t="str">
        <f>IF(AC9=$T$9,"yes","not yet")</f>
        <v>not yet</v>
      </c>
      <c r="AE9" s="31">
        <f>100*(1-AB9)</f>
        <v>91.249340454928401</v>
      </c>
      <c r="AH9">
        <v>0</v>
      </c>
      <c r="AI9">
        <v>1</v>
      </c>
    </row>
    <row r="10" spans="1:35">
      <c r="B10" s="16" t="s">
        <v>142</v>
      </c>
      <c r="C10" s="16" t="s">
        <v>147</v>
      </c>
      <c r="E10" s="28">
        <f>(+E12-((H19/100)*E11))/H29</f>
        <v>137074.07355577807</v>
      </c>
      <c r="F10" s="33" t="s">
        <v>144</v>
      </c>
      <c r="K10" s="29"/>
      <c r="M10" s="16" t="s">
        <v>148</v>
      </c>
      <c r="P10" s="16" t="s">
        <v>149</v>
      </c>
      <c r="T10" s="30">
        <f>$E$12*1.25</f>
        <v>3133338.4438406937</v>
      </c>
      <c r="U10" s="31">
        <f>100*(+T10/$E$13)</f>
        <v>310.09357321010975</v>
      </c>
      <c r="V10" s="32">
        <f>EXP(5.70827-(0.68367*LN(+U10)))</f>
        <v>5.9663853998140413</v>
      </c>
      <c r="W10" s="32">
        <f>(+V10*U10)/100</f>
        <v>18.501377677769653</v>
      </c>
      <c r="X10" s="31">
        <f>100*((((W10/100)-((W10/100)-0.03574)*$E$25)-0.03574-0.00619)/0.344)</f>
        <v>32.481477806505893</v>
      </c>
      <c r="Y10">
        <v>0</v>
      </c>
      <c r="Z10" s="31">
        <f>X10+Y10</f>
        <v>32.481477806505893</v>
      </c>
      <c r="AA10" s="31">
        <f>100*($E$21*$E$23+($E$22*(Z10/100))/(1-$E$25))</f>
        <v>26.669476815067767</v>
      </c>
      <c r="AB10" s="32">
        <f>AA10/U10</f>
        <v>8.6004609960095374E-2</v>
      </c>
      <c r="AC10" s="30">
        <f>$E$12/(1-AB10)</f>
        <v>2742542.0110304002</v>
      </c>
      <c r="AD10" t="str">
        <f>IF(AC10=$T$10,"yes","not yet")</f>
        <v>not yet</v>
      </c>
      <c r="AE10" s="31">
        <f>100*(1-AB10)</f>
        <v>91.399539003990455</v>
      </c>
      <c r="AH10">
        <v>50</v>
      </c>
      <c r="AI10">
        <v>2</v>
      </c>
    </row>
    <row r="11" spans="1:35">
      <c r="B11" s="34" t="s">
        <v>150</v>
      </c>
      <c r="C11" s="16" t="s">
        <v>151</v>
      </c>
      <c r="D11" s="34" t="s">
        <v>152</v>
      </c>
      <c r="E11" s="28">
        <f>'Staff Pro Forma'!N21</f>
        <v>2628438.5410000002</v>
      </c>
      <c r="F11" s="16" t="s">
        <v>153</v>
      </c>
      <c r="K11" s="29"/>
      <c r="M11" s="16" t="s">
        <v>154</v>
      </c>
      <c r="P11" s="16" t="s">
        <v>155</v>
      </c>
      <c r="T11" s="30">
        <f>$E$12*1.25</f>
        <v>3133338.4438406937</v>
      </c>
      <c r="U11" s="31">
        <f>100*(+T11/$E$13)</f>
        <v>310.09357321010975</v>
      </c>
      <c r="V11" s="32">
        <f>EXP(5.6985-(0.68367*LN(U11)))</f>
        <v>5.9083776437628144</v>
      </c>
      <c r="W11" s="32">
        <f>(+V11*U11)/100</f>
        <v>18.321499354291401</v>
      </c>
      <c r="X11" s="31">
        <f>100*((((W11/100)-((W11/100)-0.03574)*$E$25)-0.03574-0.00619)/0.344)</f>
        <v>32.06838514502968</v>
      </c>
      <c r="Y11">
        <v>0</v>
      </c>
      <c r="Z11" s="31">
        <f>X11+Y11</f>
        <v>32.06838514502968</v>
      </c>
      <c r="AA11" s="31">
        <f>100*($E$21*$E$23+($E$22*(Z11/100))/(1-$E$25))</f>
        <v>26.355735553187099</v>
      </c>
      <c r="AB11" s="32">
        <f>AA11/U11</f>
        <v>8.4992846773155384E-2</v>
      </c>
      <c r="AC11" s="30">
        <f>$E$12/(1-AB11)</f>
        <v>2739509.4631037405</v>
      </c>
      <c r="AD11" t="str">
        <f>IF(AC11=$T$11,"yes","not yet")</f>
        <v>not yet</v>
      </c>
      <c r="AE11" s="31">
        <f>100*(1-AB11)</f>
        <v>91.500715322684471</v>
      </c>
      <c r="AH11">
        <v>125</v>
      </c>
      <c r="AI11">
        <v>3</v>
      </c>
    </row>
    <row r="12" spans="1:35">
      <c r="B12" s="34" t="s">
        <v>150</v>
      </c>
      <c r="C12" s="16" t="s">
        <v>156</v>
      </c>
      <c r="D12" s="34" t="s">
        <v>152</v>
      </c>
      <c r="E12" s="28">
        <f>+'Staff Pro Forma'!N102</f>
        <v>2506670.755072555</v>
      </c>
      <c r="F12" s="16" t="s">
        <v>153</v>
      </c>
      <c r="K12" s="29"/>
      <c r="M12" s="16" t="s">
        <v>157</v>
      </c>
      <c r="P12" s="16" t="s">
        <v>158</v>
      </c>
      <c r="T12" s="30">
        <f>$E$12*1.25</f>
        <v>3133338.4438406937</v>
      </c>
      <c r="U12" s="31">
        <f>100*(+T12/$E$13)</f>
        <v>310.09357321010975</v>
      </c>
      <c r="V12" s="32">
        <f>EXP(5.6922-(0.68367*LN(U12)))</f>
        <v>5.8712718705200846</v>
      </c>
      <c r="W12" s="32">
        <f>(+V12*U12)/100</f>
        <v>18.206436736175778</v>
      </c>
      <c r="X12" s="31">
        <f>100*((((W12/100)-((W12/100)-0.03574)*$E$25)-0.03574-0.00619)/0.344)</f>
        <v>31.804142504589734</v>
      </c>
      <c r="Y12">
        <v>0</v>
      </c>
      <c r="Z12" s="31">
        <f>X12+Y12</f>
        <v>31.804142504589734</v>
      </c>
      <c r="AA12" s="31">
        <f>100*($E$21*$E$23+($E$22*(Z12/100))/(1-$E$25))</f>
        <v>26.155044940194731</v>
      </c>
      <c r="AB12" s="32">
        <f>AA12/U12</f>
        <v>8.4345653053805425E-2</v>
      </c>
      <c r="AC12" s="30">
        <f>$E$12/(1-AB12)</f>
        <v>2737573.1502095419</v>
      </c>
      <c r="AD12" t="str">
        <f>IF(AC12=$T$12,"yes","not yet")</f>
        <v>not yet</v>
      </c>
      <c r="AE12" s="31">
        <f>100*(1-AB12)</f>
        <v>91.565434694619469</v>
      </c>
      <c r="AH12">
        <v>401</v>
      </c>
      <c r="AI12">
        <v>4</v>
      </c>
    </row>
    <row r="13" spans="1:35">
      <c r="B13" s="34" t="s">
        <v>150</v>
      </c>
      <c r="C13" s="16" t="s">
        <v>159</v>
      </c>
      <c r="E13" s="769">
        <f>+'Staff Pro Forma'!N108</f>
        <v>1010449.3335363776</v>
      </c>
      <c r="F13" s="16" t="s">
        <v>153</v>
      </c>
      <c r="K13" s="29"/>
      <c r="Z13" s="31"/>
    </row>
    <row r="14" spans="1:35">
      <c r="C14" s="16" t="s">
        <v>160</v>
      </c>
      <c r="E14" s="31">
        <f>U9</f>
        <v>310.09357321010975</v>
      </c>
      <c r="F14" s="16" t="s">
        <v>161</v>
      </c>
      <c r="H14" s="31"/>
      <c r="U14" s="2" t="s">
        <v>162</v>
      </c>
      <c r="V14" s="2" t="s">
        <v>133</v>
      </c>
      <c r="W14" s="2" t="s">
        <v>134</v>
      </c>
      <c r="X14" s="2" t="s">
        <v>135</v>
      </c>
      <c r="Z14" s="31"/>
      <c r="AH14" s="16" t="s">
        <v>163</v>
      </c>
    </row>
    <row r="15" spans="1:35">
      <c r="C15" s="16" t="s">
        <v>164</v>
      </c>
      <c r="E15" s="31">
        <f>HLOOKUP($AI$38,$AI$32:$AQ$36,$E$16+1)</f>
        <v>273.17503190268263</v>
      </c>
      <c r="F15" s="16" t="s">
        <v>161</v>
      </c>
      <c r="U15" s="31">
        <f>100*(+AC9/$E$13)</f>
        <v>271.8648237141195</v>
      </c>
      <c r="V15" s="35">
        <f>EXP(5.7226-(0.68367*LN(+U15)))</f>
        <v>6.6221570178626443</v>
      </c>
      <c r="W15" s="32">
        <f>(+V15*U15)/100</f>
        <v>18.003315502684469</v>
      </c>
      <c r="X15" s="31">
        <f>100*((((W15/100)-((W15/100)-0.03574)*$E$25)-0.03574-0.00619)/0.344)</f>
        <v>31.337672230002134</v>
      </c>
      <c r="Y15">
        <v>0</v>
      </c>
      <c r="Z15" s="31">
        <f>X15+Y15</f>
        <v>31.337672230002134</v>
      </c>
      <c r="AA15" s="31">
        <f>100*($E$21*$E$23+($E$22*(Z15/100))/(1-$E$25))</f>
        <v>25.800763718988961</v>
      </c>
      <c r="AB15" s="32">
        <f>AA15/U15</f>
        <v>9.490291302312745E-2</v>
      </c>
      <c r="AC15" s="30">
        <f>$E$12/(1-AB15)</f>
        <v>2769504.8311834936</v>
      </c>
      <c r="AD15" t="str">
        <f>IF(OR(OR(AC15=AC9,AC15=(AC9+1)),AC15=(AC8193-1)),"yes","not yet")</f>
        <v>not yet</v>
      </c>
      <c r="AE15" s="31">
        <f>100*(1-AB15)</f>
        <v>90.509708697687259</v>
      </c>
    </row>
    <row r="16" spans="1:35">
      <c r="C16" s="16" t="s">
        <v>165</v>
      </c>
      <c r="E16">
        <f>VLOOKUP(E14,AH9:AI12,2)</f>
        <v>3</v>
      </c>
      <c r="F16" s="16" t="s">
        <v>161</v>
      </c>
      <c r="U16" s="31">
        <f>100*(+AC10/$E$13)</f>
        <v>271.41806323252575</v>
      </c>
      <c r="V16" s="35">
        <f>EXP(5.70827-(0.68367*LN(+U16)))</f>
        <v>6.5352824159828318</v>
      </c>
      <c r="W16" s="32">
        <f>(+V16*U16)/100</f>
        <v>17.737936960236418</v>
      </c>
      <c r="X16" s="31">
        <f>100*((((W16/100)-((W16/100)-0.03574)*$E$25)-0.03574-0.00619)/0.344)</f>
        <v>30.728227321473167</v>
      </c>
      <c r="Y16">
        <v>0</v>
      </c>
      <c r="Z16" s="31">
        <f>X16+Y16</f>
        <v>30.728227321473167</v>
      </c>
      <c r="AA16" s="31">
        <f>100*($E$21*$E$23+($E$22*(Z16/100))/(1-$E$25))</f>
        <v>25.337894168207463</v>
      </c>
      <c r="AB16" s="32">
        <f>AA16/U16</f>
        <v>9.3353750544230771E-2</v>
      </c>
      <c r="AC16" s="30">
        <f>$E$12/(1-AB16)</f>
        <v>2764772.6514913943</v>
      </c>
      <c r="AD16" t="str">
        <f>IF(OR(OR(AC16=AC10,AC16=(AC10+1)),AC16=(AC10-1)),"yes","not yet")</f>
        <v>not yet</v>
      </c>
      <c r="AE16" s="31">
        <f>100*(1-AB16)</f>
        <v>90.664624945576918</v>
      </c>
    </row>
    <row r="17" spans="2:42">
      <c r="U17" s="31">
        <f>100*(+AC11/$E$13)</f>
        <v>271.11794448079706</v>
      </c>
      <c r="V17" s="35">
        <f>EXP(5.6985-(0.68367*LN(U17)))</f>
        <v>6.4766405607782174</v>
      </c>
      <c r="W17" s="32">
        <f>(+V17*U17)/100</f>
        <v>17.559334759791469</v>
      </c>
      <c r="X17" s="31">
        <f>100*((((W17/100)-((W17/100)-0.03574)*$E$25)-0.03574-0.00619)/0.344)</f>
        <v>30.318065291381568</v>
      </c>
      <c r="Y17">
        <v>0</v>
      </c>
      <c r="Z17" s="31">
        <f>X17+Y17</f>
        <v>30.318065291381568</v>
      </c>
      <c r="AA17" s="31">
        <f>100*($E$21*$E$23+($E$22*(Z17/100))/(1-$E$25))</f>
        <v>25.026378702315117</v>
      </c>
      <c r="AB17" s="32">
        <f>AA17/U17</f>
        <v>9.2308086616109994E-2</v>
      </c>
      <c r="AC17" s="30">
        <f>$E$12/(1-AB17)</f>
        <v>2761587.6247345274</v>
      </c>
      <c r="AD17" t="str">
        <f>IF(OR(OR(AC17=AC11,AC17=(AC11+1)),AC17=(AC11-1)),"yes","not yet")</f>
        <v>not yet</v>
      </c>
      <c r="AE17" s="31">
        <f>100*(1-AB17)</f>
        <v>90.769191338388993</v>
      </c>
      <c r="AI17">
        <v>1</v>
      </c>
      <c r="AJ17">
        <v>2</v>
      </c>
      <c r="AK17">
        <v>3</v>
      </c>
      <c r="AL17">
        <v>4</v>
      </c>
      <c r="AM17">
        <v>5</v>
      </c>
      <c r="AN17">
        <v>7</v>
      </c>
      <c r="AO17">
        <v>8</v>
      </c>
      <c r="AP17">
        <v>9</v>
      </c>
    </row>
    <row r="18" spans="2:42">
      <c r="C18" s="16" t="s">
        <v>166</v>
      </c>
      <c r="U18" s="31">
        <f>100*(+AC12/$E$13)</f>
        <v>270.92631558561817</v>
      </c>
      <c r="V18" s="35">
        <f>EXP(5.6922-(0.68367*LN(U18)))</f>
        <v>6.4390778550442809</v>
      </c>
      <c r="W18" s="32">
        <f>(+V18*U18)/100</f>
        <v>17.445156390360921</v>
      </c>
      <c r="X18" s="31">
        <f>100*((((W18/100)-((W18/100)-0.03574)*$E$25)-0.03574-0.00619)/0.344)</f>
        <v>30.055853338328863</v>
      </c>
      <c r="Y18">
        <v>0</v>
      </c>
      <c r="Z18" s="31">
        <f>X18+Y18</f>
        <v>30.055853338328863</v>
      </c>
      <c r="AA18" s="31">
        <f>100*($E$21*$E$23+($E$22*(Z18/100))/(1-$E$25))</f>
        <v>24.827230383540911</v>
      </c>
      <c r="AB18" s="32">
        <f>AA18/U18</f>
        <v>9.1638312542197495E-2</v>
      </c>
      <c r="AC18" s="30">
        <f>$E$12/(1-AB18)</f>
        <v>2759551.3876062734</v>
      </c>
      <c r="AD18" t="str">
        <f>IF(OR(OR(AC18=AC12,AC18=(AC12+1)),AC18=(AC12-1)),"yes","not yet")</f>
        <v>not yet</v>
      </c>
      <c r="AE18" s="31">
        <f>100*(1-AB18)</f>
        <v>90.836168745780256</v>
      </c>
      <c r="AI18" t="str">
        <f>AD9</f>
        <v>not yet</v>
      </c>
      <c r="AJ18" t="str">
        <f>AD15</f>
        <v>not yet</v>
      </c>
      <c r="AK18" t="str">
        <f>AD21</f>
        <v>not yet</v>
      </c>
      <c r="AL18" t="str">
        <f>AD27</f>
        <v>not yet</v>
      </c>
      <c r="AM18" t="str">
        <f>AD33</f>
        <v>not yet</v>
      </c>
      <c r="AN18">
        <f>AC45</f>
        <v>2768143</v>
      </c>
      <c r="AO18">
        <f>AC51</f>
        <v>2768143</v>
      </c>
      <c r="AP18">
        <f>AC57</f>
        <v>2768143</v>
      </c>
    </row>
    <row r="19" spans="2:42">
      <c r="C19" s="16" t="s">
        <v>167</v>
      </c>
      <c r="E19" s="34" t="s">
        <v>142</v>
      </c>
      <c r="F19" s="16" t="s">
        <v>168</v>
      </c>
      <c r="H19" s="31">
        <f>HLOOKUP($AI$29,$AI$23:$AQ$27,$E$16+1)</f>
        <v>90.81186268322233</v>
      </c>
      <c r="I19" s="16" t="s">
        <v>144</v>
      </c>
      <c r="J19" s="36"/>
      <c r="Z19" s="31"/>
      <c r="AI19" t="str">
        <f>AD10</f>
        <v>not yet</v>
      </c>
      <c r="AJ19" t="str">
        <f>AD16</f>
        <v>not yet</v>
      </c>
      <c r="AK19" t="str">
        <f>AD22</f>
        <v>not yet</v>
      </c>
      <c r="AL19" t="str">
        <f>AD28</f>
        <v>not yet</v>
      </c>
      <c r="AM19" t="str">
        <f>AD34</f>
        <v>not yet</v>
      </c>
      <c r="AN19">
        <f>AC46</f>
        <v>2763449</v>
      </c>
      <c r="AO19">
        <f>AC52</f>
        <v>2763449</v>
      </c>
      <c r="AP19">
        <f>AC58</f>
        <v>2763449</v>
      </c>
    </row>
    <row r="20" spans="2:42">
      <c r="C20" s="37" t="s">
        <v>152</v>
      </c>
      <c r="D20" s="37" t="s">
        <v>152</v>
      </c>
      <c r="E20" s="38"/>
      <c r="H20" s="37" t="s">
        <v>169</v>
      </c>
      <c r="U20" s="16" t="s">
        <v>170</v>
      </c>
      <c r="V20" s="2" t="s">
        <v>133</v>
      </c>
      <c r="W20" s="2" t="s">
        <v>134</v>
      </c>
      <c r="X20" s="2" t="s">
        <v>135</v>
      </c>
      <c r="Z20" s="31"/>
      <c r="AI20" t="str">
        <f>AD11</f>
        <v>not yet</v>
      </c>
      <c r="AJ20" t="str">
        <f>AD17</f>
        <v>not yet</v>
      </c>
      <c r="AK20" t="str">
        <f>AD23</f>
        <v>not yet</v>
      </c>
      <c r="AL20" t="str">
        <f>AD29</f>
        <v>not yet</v>
      </c>
      <c r="AM20" t="str">
        <f>AD35</f>
        <v>not yet</v>
      </c>
      <c r="AN20">
        <f>AC47</f>
        <v>2760290</v>
      </c>
      <c r="AO20">
        <f>AC53</f>
        <v>2760290</v>
      </c>
      <c r="AP20">
        <f>AC59</f>
        <v>2760290</v>
      </c>
    </row>
    <row r="21" spans="2:42">
      <c r="B21" s="34" t="s">
        <v>150</v>
      </c>
      <c r="C21" s="16" t="s">
        <v>171</v>
      </c>
      <c r="E21" s="40">
        <v>0.4</v>
      </c>
      <c r="F21" s="16" t="s">
        <v>172</v>
      </c>
      <c r="U21" s="31">
        <f>100*(+AC15/$E$13)</f>
        <v>274.08646225642616</v>
      </c>
      <c r="V21" s="35">
        <f>EXP(5.7226-(0.68367*LN(+U21)))</f>
        <v>6.5854126974473797</v>
      </c>
      <c r="W21" s="32">
        <f>(+V21*U21)/100</f>
        <v>18.049724687419008</v>
      </c>
      <c r="X21" s="31">
        <f>100*((((W21/100)-((W21/100)-0.03574)*$E$25)-0.03574-0.00619)/0.344)</f>
        <v>31.444251462386674</v>
      </c>
      <c r="Y21">
        <v>0</v>
      </c>
      <c r="Z21" s="31">
        <f>X21+Y21</f>
        <v>31.444251462386674</v>
      </c>
      <c r="AA21" s="31">
        <f>100*($E$21*$E$23+($E$22*(Z21/100))/(1-$E$25))</f>
        <v>25.881709971432915</v>
      </c>
      <c r="AB21" s="32">
        <f>AA21/U21</f>
        <v>9.4428997909494883E-2</v>
      </c>
      <c r="AC21" s="30">
        <f>$E$12/(1-AB21)</f>
        <v>2768055.4581428966</v>
      </c>
      <c r="AD21" t="str">
        <f>IF(OR(OR(AC21=AC15,AC21=(AC15+1)),AC21=(AC7-1)),"yes","not yet")</f>
        <v>not yet</v>
      </c>
      <c r="AE21" s="31">
        <f>100*(1-AB21)</f>
        <v>90.557100209050517</v>
      </c>
      <c r="AI21" t="str">
        <f>AD12</f>
        <v>not yet</v>
      </c>
      <c r="AJ21" t="str">
        <f>AD18</f>
        <v>not yet</v>
      </c>
      <c r="AK21" t="str">
        <f>AD24</f>
        <v>not yet</v>
      </c>
      <c r="AL21" t="str">
        <f>AD30</f>
        <v>not yet</v>
      </c>
      <c r="AM21" t="str">
        <f>AD36</f>
        <v>not yet</v>
      </c>
      <c r="AN21">
        <f>AC48</f>
        <v>2758271</v>
      </c>
      <c r="AO21">
        <f>AC54</f>
        <v>2758271</v>
      </c>
      <c r="AP21">
        <f>AC60</f>
        <v>2758271</v>
      </c>
    </row>
    <row r="22" spans="2:42">
      <c r="B22" s="34" t="s">
        <v>150</v>
      </c>
      <c r="C22" s="16" t="s">
        <v>173</v>
      </c>
      <c r="E22" s="40">
        <v>0.6</v>
      </c>
      <c r="F22" s="16" t="s">
        <v>174</v>
      </c>
      <c r="H22" s="669">
        <v>1.7500000000000002E-2</v>
      </c>
      <c r="I22" s="16" t="s">
        <v>150</v>
      </c>
      <c r="U22" s="31">
        <f>100*(+AC16/$E$13)</f>
        <v>273.61813796395154</v>
      </c>
      <c r="V22" s="35">
        <f>EXP(5.70827-(0.68367*LN(+U22)))</f>
        <v>6.4993110149841709</v>
      </c>
      <c r="W22" s="32">
        <f>(+V22*U22)/100</f>
        <v>17.783293779685685</v>
      </c>
      <c r="X22" s="31">
        <f>100*((((W22/100)-((W22/100)-0.03574)*$E$25)-0.03574-0.00619)/0.344)</f>
        <v>30.832389784743292</v>
      </c>
      <c r="Y22">
        <v>0</v>
      </c>
      <c r="Z22" s="31">
        <f>X22+Y22</f>
        <v>30.832389784743292</v>
      </c>
      <c r="AA22" s="31">
        <f>100*($E$21*$E$23+($E$22*(Z22/100))/(1-$E$25))</f>
        <v>25.417004899805029</v>
      </c>
      <c r="AB22" s="32">
        <f>AA22/U22</f>
        <v>9.2892251547862126E-2</v>
      </c>
      <c r="AC22" s="30">
        <f>$E$12/(1-AB22)</f>
        <v>2763366.0492371107</v>
      </c>
      <c r="AD22" t="str">
        <f>IF(OR(OR(AC22=AC16,AC22=(AC16+1)),AC22=(AC16-1)),"yes","not yet")</f>
        <v>not yet</v>
      </c>
      <c r="AE22" s="31">
        <f>100*(1-AB22)</f>
        <v>90.710774845213791</v>
      </c>
    </row>
    <row r="23" spans="2:42">
      <c r="B23" s="34" t="s">
        <v>150</v>
      </c>
      <c r="C23" s="16" t="s">
        <v>175</v>
      </c>
      <c r="E23" s="41">
        <v>0.05</v>
      </c>
      <c r="F23" s="16" t="s">
        <v>176</v>
      </c>
      <c r="H23" s="77">
        <v>5.1000000000000004E-3</v>
      </c>
      <c r="I23" s="16" t="s">
        <v>150</v>
      </c>
      <c r="U23" s="31">
        <f>100*(+AC17/$E$13)</f>
        <v>273.30292901174016</v>
      </c>
      <c r="V23" s="35">
        <f>EXP(5.6985-(0.68367*LN(U23)))</f>
        <v>6.4411958738380388</v>
      </c>
      <c r="W23" s="32">
        <f>(+V23*U23)/100</f>
        <v>17.603976986582712</v>
      </c>
      <c r="X23" s="31">
        <f>100*((((W23/100)-((W23/100)-0.03574)*$E$25)-0.03574-0.00619)/0.344)</f>
        <v>30.420586684303323</v>
      </c>
      <c r="Y23">
        <v>0</v>
      </c>
      <c r="Z23" s="31">
        <f>X23+Y23</f>
        <v>30.420586684303323</v>
      </c>
      <c r="AA23" s="31">
        <f>100*($E$21*$E$23+($E$22*(Z23/100))/(1-$E$25))</f>
        <v>25.104243051369611</v>
      </c>
      <c r="AB23" s="32">
        <f>AA23/U23</f>
        <v>9.1855009172957747E-2</v>
      </c>
      <c r="AC23" s="30">
        <f>$E$12/(1-AB23)</f>
        <v>2760209.8567870148</v>
      </c>
      <c r="AD23" t="str">
        <f>IF(OR(OR(AC23=AC17,AC23=(AC17+1)),AC23=(AC17-1)),"yes","not yet")</f>
        <v>not yet</v>
      </c>
      <c r="AE23" s="31">
        <f>100*(1-AB23)</f>
        <v>90.814499082704231</v>
      </c>
      <c r="AI23" t="str">
        <f>HLOOKUP(1,$AI$17:$AQ$21,$E$16+1)</f>
        <v>not yet</v>
      </c>
      <c r="AJ23" t="str">
        <f>HLOOKUP(2,$AI$17:$AQ$21,$E$16+1)</f>
        <v>not yet</v>
      </c>
      <c r="AK23" t="str">
        <f>HLOOKUP(3,$AI$17:$AQ$21,$E$16+1)</f>
        <v>not yet</v>
      </c>
      <c r="AL23" t="str">
        <f>HLOOKUP(4,$AI$17:$AQ$21,$E$16+1)</f>
        <v>not yet</v>
      </c>
      <c r="AM23" t="str">
        <f>HLOOKUP(5,$AI$17:$AQ$21,$E$16+1)</f>
        <v>not yet</v>
      </c>
      <c r="AN23">
        <f>HLOOKUP(7,$AI$17:$AQ$21,$E$16+1)</f>
        <v>2760290</v>
      </c>
      <c r="AO23">
        <f>HLOOKUP(8,$AI$17:$AQ$21,$E$16+1)</f>
        <v>2760290</v>
      </c>
      <c r="AP23">
        <f>HLOOKUP(9,$AI$17:$AQ$21,$E$16+1)</f>
        <v>2760290</v>
      </c>
    </row>
    <row r="24" spans="2:42">
      <c r="E24" s="39"/>
      <c r="F24" s="16" t="s">
        <v>177</v>
      </c>
      <c r="H24" s="46">
        <v>0</v>
      </c>
      <c r="I24" s="16" t="s">
        <v>150</v>
      </c>
      <c r="U24" s="31">
        <f>100*(+AC18/$E$13)</f>
        <v>273.10141102754517</v>
      </c>
      <c r="V24" s="35">
        <f>EXP(5.6922-(0.68367*LN(U24)))</f>
        <v>6.4039725116685888</v>
      </c>
      <c r="W24" s="32">
        <f>(+V24*U24)/100</f>
        <v>17.489339291183043</v>
      </c>
      <c r="X24" s="31">
        <f>100*((((W24/100)-((W24/100)-0.03574)*$E$25)-0.03574-0.00619)/0.344)</f>
        <v>30.157319883821526</v>
      </c>
      <c r="Y24">
        <v>0</v>
      </c>
      <c r="Z24" s="31">
        <f>X24+Y24</f>
        <v>30.157319883821526</v>
      </c>
      <c r="AA24" s="31">
        <f>100*($E$21*$E$23+($E$22*(Z24/100))/(1-$E$25))</f>
        <v>24.904293582649263</v>
      </c>
      <c r="AB24" s="32">
        <f>AA24/U24</f>
        <v>9.1190644123539152E-2</v>
      </c>
      <c r="AC24" s="30">
        <f>$E$12/(1-AB24)</f>
        <v>2758192.0662063472</v>
      </c>
      <c r="AD24" t="str">
        <f>IF(OR(OR(AC24=AC18,AC24=(AC18+1)),AC24=(AC18-1)),"yes","not yet")</f>
        <v>not yet</v>
      </c>
      <c r="AE24" s="31">
        <f>100*(1-AB24)</f>
        <v>90.880935587646078</v>
      </c>
      <c r="AH24">
        <v>1</v>
      </c>
      <c r="AI24" s="31">
        <f>AE9</f>
        <v>91.249340454928401</v>
      </c>
      <c r="AJ24" s="31">
        <f>AE15</f>
        <v>90.509708697687259</v>
      </c>
      <c r="AK24" s="31">
        <f>AE21</f>
        <v>90.557100209050517</v>
      </c>
      <c r="AL24" s="31">
        <f>AE27</f>
        <v>90.554058668128448</v>
      </c>
      <c r="AM24" s="31">
        <f>AE33</f>
        <v>90.554253850812188</v>
      </c>
      <c r="AN24" s="31" t="str">
        <f>AD45</f>
        <v>yes</v>
      </c>
      <c r="AO24" s="31" t="str">
        <f>AD51</f>
        <v>yes</v>
      </c>
      <c r="AP24" s="31" t="str">
        <f>AD57</f>
        <v>yes</v>
      </c>
    </row>
    <row r="25" spans="2:42">
      <c r="B25" s="34" t="s">
        <v>150</v>
      </c>
      <c r="C25" s="16" t="s">
        <v>178</v>
      </c>
      <c r="E25" s="40">
        <v>0.21</v>
      </c>
      <c r="F25" s="16" t="s">
        <v>179</v>
      </c>
      <c r="H25" s="46">
        <v>1.2E-2</v>
      </c>
      <c r="I25" s="16" t="s">
        <v>150</v>
      </c>
      <c r="Z25" s="31"/>
      <c r="AH25">
        <v>2</v>
      </c>
      <c r="AI25" s="31">
        <f>AE10</f>
        <v>91.399539003990455</v>
      </c>
      <c r="AJ25" s="31">
        <f>AE16</f>
        <v>90.664624945576918</v>
      </c>
      <c r="AK25" s="31">
        <f>AE22</f>
        <v>90.710774845213791</v>
      </c>
      <c r="AL25" s="31">
        <f>AE28</f>
        <v>90.707872079056557</v>
      </c>
      <c r="AM25" s="31">
        <f>AE34</f>
        <v>90.708054640402679</v>
      </c>
      <c r="AN25" s="31" t="str">
        <f>AD46</f>
        <v>yes</v>
      </c>
      <c r="AO25" s="31" t="str">
        <f>AD52</f>
        <v>yes</v>
      </c>
      <c r="AP25" s="31" t="str">
        <f>AD58</f>
        <v>yes</v>
      </c>
    </row>
    <row r="26" spans="2:42">
      <c r="H26" s="37" t="s">
        <v>152</v>
      </c>
      <c r="U26" s="16" t="s">
        <v>180</v>
      </c>
      <c r="V26" s="2" t="s">
        <v>133</v>
      </c>
      <c r="W26" s="2" t="s">
        <v>134</v>
      </c>
      <c r="X26" s="2" t="s">
        <v>135</v>
      </c>
      <c r="Z26" s="31"/>
      <c r="AH26">
        <v>3</v>
      </c>
      <c r="AI26" s="31">
        <f>AE11</f>
        <v>91.500715322684471</v>
      </c>
      <c r="AJ26" s="31">
        <f>AE17</f>
        <v>90.769191338388993</v>
      </c>
      <c r="AK26" s="31">
        <f>AE23</f>
        <v>90.814499082704231</v>
      </c>
      <c r="AL26" s="31">
        <f>AE29</f>
        <v>90.811688330455979</v>
      </c>
      <c r="AM26" s="31">
        <f>AE35</f>
        <v>90.81186268322233</v>
      </c>
      <c r="AN26" s="31" t="str">
        <f>AD47</f>
        <v>yes</v>
      </c>
      <c r="AO26" s="31" t="str">
        <f>AD53</f>
        <v>yes</v>
      </c>
      <c r="AP26" s="31" t="str">
        <f>AD59</f>
        <v>yes</v>
      </c>
    </row>
    <row r="27" spans="2:42">
      <c r="F27" s="16" t="s">
        <v>181</v>
      </c>
      <c r="H27" s="29">
        <f>SUM(H22:H25)</f>
        <v>3.4600000000000006E-2</v>
      </c>
      <c r="U27" s="31">
        <f>100*(+AC21/$E$13)</f>
        <v>273.9430237887571</v>
      </c>
      <c r="V27" s="35">
        <f>EXP(5.7226-(0.68367*LN(+U27)))</f>
        <v>6.5877699111217884</v>
      </c>
      <c r="W27" s="32">
        <f>(+V27*U27)/100</f>
        <v>18.046736094772942</v>
      </c>
      <c r="X27" s="31">
        <f>100*((((W27/100)-((W27/100)-0.03574)*$E$25)-0.03574-0.00619)/0.344)</f>
        <v>31.437388124623912</v>
      </c>
      <c r="Y27">
        <v>0</v>
      </c>
      <c r="Z27" s="31">
        <f>X27+Y27</f>
        <v>31.437388124623912</v>
      </c>
      <c r="AA27" s="31">
        <f>100*($E$21*$E$23+($E$22*(Z27/100))/(1-$E$25))</f>
        <v>25.876497309840946</v>
      </c>
      <c r="AB27" s="32">
        <f>AA27/U27</f>
        <v>9.4459413318715602E-2</v>
      </c>
      <c r="AC27" s="30">
        <f>$E$12/(1-AB27)</f>
        <v>2768148.4319319716</v>
      </c>
      <c r="AD27" t="str">
        <f>IF(OR(OR(AC27=AC21,AC27=(AC21+1)),AC27=(AC13-1)),"yes","not yet")</f>
        <v>not yet</v>
      </c>
      <c r="AE27" s="31">
        <f>100*(1-AB27)</f>
        <v>90.554058668128448</v>
      </c>
      <c r="AH27">
        <v>4</v>
      </c>
      <c r="AI27" s="31">
        <f>AE12</f>
        <v>91.565434694619469</v>
      </c>
      <c r="AJ27" s="31">
        <f>AE18</f>
        <v>90.836168745780256</v>
      </c>
      <c r="AK27" s="31">
        <f>AE24</f>
        <v>90.880935587646078</v>
      </c>
      <c r="AL27" s="31">
        <f>AE30</f>
        <v>90.87818305397451</v>
      </c>
      <c r="AM27" s="31">
        <f>AE36</f>
        <v>90.878352279316118</v>
      </c>
      <c r="AN27" s="31" t="str">
        <f>AD48</f>
        <v>yes</v>
      </c>
      <c r="AO27" s="31" t="str">
        <f>AD54</f>
        <v>yes</v>
      </c>
      <c r="AP27" s="31" t="str">
        <f>AD60</f>
        <v>yes</v>
      </c>
    </row>
    <row r="28" spans="2:42">
      <c r="U28" s="31">
        <f>100*(+AC22/$E$13)</f>
        <v>273.47893234447127</v>
      </c>
      <c r="V28" s="35">
        <f>EXP(5.70827-(0.68367*LN(+U28)))</f>
        <v>6.5015725940555598</v>
      </c>
      <c r="W28" s="32">
        <f>(+V28*U28)/100</f>
        <v>17.78043131582389</v>
      </c>
      <c r="X28" s="31">
        <f>100*((((W28/100)-((W28/100)-0.03574)*$E$25)-0.03574-0.00619)/0.344)</f>
        <v>30.825816103200214</v>
      </c>
      <c r="Y28">
        <v>0</v>
      </c>
      <c r="Z28" s="31">
        <f>X28+Y28</f>
        <v>30.825816103200214</v>
      </c>
      <c r="AA28" s="31">
        <f>100*($E$21*$E$23+($E$22*(Z28/100))/(1-$E$25))</f>
        <v>25.412012230278641</v>
      </c>
      <c r="AB28" s="32">
        <f>AA28/U28</f>
        <v>9.2921279209434424E-2</v>
      </c>
      <c r="AC28" s="30">
        <f>$E$12/(1-AB28)</f>
        <v>2763454.4804312717</v>
      </c>
      <c r="AD28" t="str">
        <f>IF(OR(OR(AC28=AC22,AC28=(AC22+1)),AC28=(AC22-1)),"yes","not yet")</f>
        <v>not yet</v>
      </c>
      <c r="AE28" s="31">
        <f>100*(1-AB28)</f>
        <v>90.707872079056557</v>
      </c>
    </row>
    <row r="29" spans="2:42">
      <c r="F29" s="16" t="s">
        <v>182</v>
      </c>
      <c r="H29" s="32">
        <f>((+H19/100)-H27)</f>
        <v>0.87351862683222337</v>
      </c>
      <c r="U29" s="31">
        <f>100*(+AC23/$E$13)</f>
        <v>273.16657700458995</v>
      </c>
      <c r="V29" s="35">
        <f>EXP(5.6985-(0.68367*LN(U29)))</f>
        <v>6.4433937981000593</v>
      </c>
      <c r="W29" s="32">
        <f>(+V29*U29)/100</f>
        <v>17.601198281195973</v>
      </c>
      <c r="X29" s="31">
        <f>100*((((W29/100)-((W29/100)-0.03574)*$E$25)-0.03574-0.00619)/0.344)</f>
        <v>30.414205355072149</v>
      </c>
      <c r="Y29">
        <v>0</v>
      </c>
      <c r="Z29" s="31">
        <f>X29+Y29</f>
        <v>30.414205355072149</v>
      </c>
      <c r="AA29" s="31">
        <f>100*($E$21*$E$23+($E$22*(Z29/100))/(1-$E$25))</f>
        <v>25.099396472206692</v>
      </c>
      <c r="AB29" s="32">
        <f>AA29/U29</f>
        <v>9.1883116695440206E-2</v>
      </c>
      <c r="AC29" s="30">
        <f>$E$12/(1-AB29)</f>
        <v>2760295.2892484437</v>
      </c>
      <c r="AD29" t="str">
        <f>IF(OR(OR(AC29=AC23,AC29=(AC23+1)),AC29=(AC23-1)),"yes","not yet")</f>
        <v>not yet</v>
      </c>
      <c r="AE29" s="31">
        <f>100*(1-AB29)</f>
        <v>90.811688330455979</v>
      </c>
      <c r="AI29" s="16" t="s">
        <v>183</v>
      </c>
    </row>
    <row r="30" spans="2:42">
      <c r="U30" s="31">
        <f>100*(+AC24/$E$13)</f>
        <v>272.96688459907313</v>
      </c>
      <c r="V30" s="35">
        <f>EXP(5.6922-(0.68367*LN(U30)))</f>
        <v>6.4061300562820254</v>
      </c>
      <c r="W30" s="32">
        <f>(+V30*U30)/100</f>
        <v>17.486613637997895</v>
      </c>
      <c r="X30" s="31">
        <f>100*((((W30/100)-((W30/100)-0.03574)*$E$25)-0.03574-0.00619)/0.344)</f>
        <v>30.151060389588185</v>
      </c>
      <c r="Y30">
        <v>0</v>
      </c>
      <c r="Z30" s="31">
        <f>X30+Y30</f>
        <v>30.151060389588185</v>
      </c>
      <c r="AA30" s="31">
        <f>100*($E$21*$E$23+($E$22*(Z30/100))/(1-$E$25))</f>
        <v>24.899539536396087</v>
      </c>
      <c r="AB30" s="32">
        <f>AA30/U30</f>
        <v>9.1218169460254864E-2</v>
      </c>
      <c r="AC30" s="30">
        <f>$E$12/(1-AB30)</f>
        <v>2758275.6067908942</v>
      </c>
      <c r="AD30" t="str">
        <f>IF(OR(OR(AC30=AC24,AC30=(AC24+1)),AC30=(AC24-1)),"yes","not yet")</f>
        <v>not yet</v>
      </c>
      <c r="AE30" s="31">
        <f>100*(1-AB30)</f>
        <v>90.87818305397451</v>
      </c>
      <c r="AI30" s="31">
        <f>HLOOKUP($AI$29,$AI$23:$AQ$27,$E$16+1)</f>
        <v>90.81186268322233</v>
      </c>
    </row>
    <row r="31" spans="2:42">
      <c r="E31" s="30"/>
      <c r="Z31" s="31"/>
    </row>
    <row r="32" spans="2:42">
      <c r="U32" s="16" t="s">
        <v>184</v>
      </c>
      <c r="V32" s="2" t="s">
        <v>133</v>
      </c>
      <c r="W32" s="2" t="s">
        <v>134</v>
      </c>
      <c r="X32" s="2" t="s">
        <v>135</v>
      </c>
      <c r="Z32" s="31"/>
      <c r="AI32" t="str">
        <f>HLOOKUP(1,$AI$17:$AQ$21,$E$16+1)</f>
        <v>not yet</v>
      </c>
      <c r="AJ32" t="str">
        <f>HLOOKUP(2,$AI$17:$AQ$21,$E$16+1)</f>
        <v>not yet</v>
      </c>
      <c r="AK32" t="str">
        <f>HLOOKUP(3,$AI$17:$AQ$21,$E$16+1)</f>
        <v>not yet</v>
      </c>
      <c r="AL32" t="str">
        <f>HLOOKUP(4,$AI$17:$AQ$21,$E$16+1)</f>
        <v>not yet</v>
      </c>
      <c r="AM32" t="str">
        <f>HLOOKUP(5,$AI$17:$AQ$21,$E$16+1)</f>
        <v>not yet</v>
      </c>
      <c r="AN32">
        <f>HLOOKUP(7,$AI$17:$AQ$21,$E$16+1)</f>
        <v>2760290</v>
      </c>
      <c r="AO32">
        <f>HLOOKUP(8,$AI$17:$AQ$21,$E$16+1)</f>
        <v>2760290</v>
      </c>
      <c r="AP32">
        <f>HLOOKUP(9,$AI$17:$AQ$21,$E$16+1)</f>
        <v>2760290</v>
      </c>
    </row>
    <row r="33" spans="5:42">
      <c r="E33" s="30"/>
      <c r="U33" s="31">
        <f>100*(+AC27/$E$13)</f>
        <v>273.95222502092076</v>
      </c>
      <c r="V33" s="35">
        <f>EXP(5.7226-(0.68367*LN(+U33)))</f>
        <v>6.5876186391703824</v>
      </c>
      <c r="W33" s="32">
        <f>(+V33*U33)/100</f>
        <v>18.046927837900164</v>
      </c>
      <c r="X33" s="31">
        <f>100*((((W33/100)-((W33/100)-0.03574)*$E$25)-0.03574-0.00619)/0.344)</f>
        <v>31.437828464945149</v>
      </c>
      <c r="Y33">
        <v>0</v>
      </c>
      <c r="Z33" s="31">
        <f>X33+Y33</f>
        <v>31.437828464945149</v>
      </c>
      <c r="AA33" s="31">
        <f>100*($E$21*$E$23+($E$22*(Z33/100))/(1-$E$25))</f>
        <v>25.876831745527962</v>
      </c>
      <c r="AB33" s="32">
        <f>AA33/U33</f>
        <v>9.4457461491878156E-2</v>
      </c>
      <c r="AC33" s="30">
        <f>$E$12/(1-AB33)</f>
        <v>2768142.4654023279</v>
      </c>
      <c r="AD33" t="str">
        <f>IF(OR(OR(AC33=AC27,AC33=(AC27+1)),AC33=(AC19-1)),"yes","not yet")</f>
        <v>not yet</v>
      </c>
      <c r="AE33" s="31">
        <f>100*(1-AB33)</f>
        <v>90.554253850812188</v>
      </c>
      <c r="AH33">
        <v>1</v>
      </c>
      <c r="AI33" s="31">
        <f>U9</f>
        <v>310.09357321010975</v>
      </c>
      <c r="AJ33" s="31">
        <f>U15</f>
        <v>271.8648237141195</v>
      </c>
      <c r="AK33" s="31">
        <f>U21</f>
        <v>274.08646225642616</v>
      </c>
      <c r="AL33" s="31">
        <f>U27</f>
        <v>273.9430237887571</v>
      </c>
      <c r="AM33" s="31">
        <f>U33</f>
        <v>273.95222502092076</v>
      </c>
      <c r="AN33" s="31">
        <f>T45</f>
        <v>0</v>
      </c>
      <c r="AO33" s="31">
        <f>T51</f>
        <v>0</v>
      </c>
      <c r="AP33" s="31">
        <f>T57</f>
        <v>0</v>
      </c>
    </row>
    <row r="34" spans="5:42">
      <c r="E34" s="30"/>
      <c r="U34" s="31">
        <f>100*(+AC28/$E$13)</f>
        <v>273.48768401476542</v>
      </c>
      <c r="V34" s="35">
        <f>EXP(5.70827-(0.68367*LN(+U34)))</f>
        <v>6.5014303545245316</v>
      </c>
      <c r="W34" s="32">
        <f>(+V34*U34)/100</f>
        <v>17.780611304422095</v>
      </c>
      <c r="X34" s="31">
        <f>100*((((W34/100)-((W34/100)-0.03574)*$E$25)-0.03574-0.00619)/0.344)</f>
        <v>30.826229449108887</v>
      </c>
      <c r="Y34">
        <v>0</v>
      </c>
      <c r="Z34" s="31">
        <f>X34+Y34</f>
        <v>30.826229449108887</v>
      </c>
      <c r="AA34" s="31">
        <f>100*($E$21*$E$23+($E$22*(Z34/100))/(1-$E$25))</f>
        <v>25.412326163880167</v>
      </c>
      <c r="AB34" s="32">
        <f>AA34/U34</f>
        <v>9.2919453595973159E-2</v>
      </c>
      <c r="AC34" s="30">
        <f>$E$12/(1-AB34)</f>
        <v>2763448.9186322466</v>
      </c>
      <c r="AD34" t="str">
        <f>IF(OR(OR(AC34=AC28,AC34=(AC28+1)),AC34=(AC28-1)),"yes","not yet")</f>
        <v>not yet</v>
      </c>
      <c r="AE34" s="31">
        <f>100*(1-AB34)</f>
        <v>90.708054640402679</v>
      </c>
      <c r="AH34">
        <v>2</v>
      </c>
      <c r="AI34" s="31">
        <f>U10</f>
        <v>310.09357321010975</v>
      </c>
      <c r="AJ34" s="31">
        <f>U16</f>
        <v>271.41806323252575</v>
      </c>
      <c r="AK34" s="31">
        <f>U22</f>
        <v>273.61813796395154</v>
      </c>
      <c r="AL34" s="31">
        <f>U28</f>
        <v>273.47893234447127</v>
      </c>
      <c r="AM34" s="31">
        <f>U34</f>
        <v>273.48768401476542</v>
      </c>
      <c r="AN34" s="31">
        <f>T46</f>
        <v>0</v>
      </c>
      <c r="AO34" s="31">
        <f>T52</f>
        <v>0</v>
      </c>
      <c r="AP34" s="31">
        <f>T58</f>
        <v>0</v>
      </c>
    </row>
    <row r="35" spans="5:42">
      <c r="E35" s="30"/>
      <c r="U35" s="31">
        <f>100*(+AC29/$E$13)</f>
        <v>273.17503190268263</v>
      </c>
      <c r="V35" s="35">
        <f>EXP(5.6985-(0.68367*LN(U35)))</f>
        <v>6.4432574557740541</v>
      </c>
      <c r="W35" s="32">
        <f>(+V35*U35)/100</f>
        <v>17.601370610382748</v>
      </c>
      <c r="X35" s="31">
        <f>100*((((W35/100)-((W35/100)-0.03574)*$E$25)-0.03574-0.00619)/0.344)</f>
        <v>30.414601111053408</v>
      </c>
      <c r="Y35">
        <v>0</v>
      </c>
      <c r="Z35" s="31">
        <f>X35+Y35</f>
        <v>30.414601111053408</v>
      </c>
      <c r="AA35" s="31">
        <f>100*($E$21*$E$23+($E$22*(Z35/100))/(1-$E$25))</f>
        <v>25.099697046369673</v>
      </c>
      <c r="AB35" s="32">
        <f>AA35/U35</f>
        <v>9.1881373167776642E-2</v>
      </c>
      <c r="AC35" s="30">
        <f>$E$12/(1-AB35)</f>
        <v>2760289.9896641667</v>
      </c>
      <c r="AD35" t="str">
        <f>IF(OR(OR(AC35=AC29,AC35=(AC29+1)),AC35=(AC29-1)),"yes","not yet")</f>
        <v>not yet</v>
      </c>
      <c r="AE35" s="31">
        <f>100*(1-AB35)</f>
        <v>90.81186268322233</v>
      </c>
      <c r="AH35">
        <v>3</v>
      </c>
      <c r="AI35" s="31">
        <f>U11</f>
        <v>310.09357321010975</v>
      </c>
      <c r="AJ35" s="31">
        <f>U17</f>
        <v>271.11794448079706</v>
      </c>
      <c r="AK35" s="31">
        <f>U23</f>
        <v>273.30292901174016</v>
      </c>
      <c r="AL35" s="31">
        <f>U29</f>
        <v>273.16657700458995</v>
      </c>
      <c r="AM35" s="31">
        <f>U35</f>
        <v>273.17503190268263</v>
      </c>
      <c r="AN35" s="31">
        <f>T47</f>
        <v>0</v>
      </c>
      <c r="AO35" s="31">
        <f>T53</f>
        <v>0</v>
      </c>
      <c r="AP35" s="31">
        <f>T59</f>
        <v>0</v>
      </c>
    </row>
    <row r="36" spans="5:42">
      <c r="E36" s="30"/>
      <c r="U36" s="31">
        <f>100*(+AC30/$E$13)</f>
        <v>272.97515226591935</v>
      </c>
      <c r="V36" s="35">
        <f>EXP(5.6922-(0.68367*LN(U36)))</f>
        <v>6.4059974072130776</v>
      </c>
      <c r="W36" s="32">
        <f>(+V36*U36)/100</f>
        <v>17.486781176490744</v>
      </c>
      <c r="X36" s="31">
        <f>100*((((W36/100)-((W36/100)-0.03574)*$E$25)-0.03574-0.00619)/0.344)</f>
        <v>30.151445143685145</v>
      </c>
      <c r="Y36">
        <v>0</v>
      </c>
      <c r="Z36" s="31">
        <f>X36+Y36</f>
        <v>30.151445143685145</v>
      </c>
      <c r="AA36" s="31">
        <f>100*($E$21*$E$23+($E$22*(Z36/100))/(1-$E$25))</f>
        <v>24.899831754697576</v>
      </c>
      <c r="AB36" s="32">
        <f>AA36/U36</f>
        <v>9.1216477206838772E-2</v>
      </c>
      <c r="AC36" s="30">
        <f>$E$12/(1-AB36)</f>
        <v>2758270.4705827641</v>
      </c>
      <c r="AD36" t="str">
        <f>IF(OR(OR(AC36=AC30,AC36=(AC30+1)),AC36=(AC30-1)),"yes","not yet")</f>
        <v>not yet</v>
      </c>
      <c r="AE36" s="31">
        <f>100*(1-AB36)</f>
        <v>90.878352279316118</v>
      </c>
      <c r="AH36">
        <v>4</v>
      </c>
      <c r="AI36" s="31">
        <f>U12</f>
        <v>310.09357321010975</v>
      </c>
      <c r="AJ36" s="31">
        <f>U18</f>
        <v>270.92631558561817</v>
      </c>
      <c r="AK36" s="31">
        <f>U24</f>
        <v>273.10141102754517</v>
      </c>
      <c r="AL36" s="31">
        <f>U30</f>
        <v>272.96688459907313</v>
      </c>
      <c r="AM36" s="31">
        <f>U36</f>
        <v>272.97515226591935</v>
      </c>
      <c r="AN36" s="31">
        <f>T48</f>
        <v>0</v>
      </c>
      <c r="AO36" s="31">
        <f>T54</f>
        <v>0</v>
      </c>
      <c r="AP36" s="31">
        <f>T60</f>
        <v>0</v>
      </c>
    </row>
    <row r="37" spans="5:42">
      <c r="E37" s="30"/>
      <c r="Z37" s="31"/>
    </row>
    <row r="38" spans="5:42">
      <c r="U38" s="16" t="s">
        <v>185</v>
      </c>
      <c r="V38" s="2" t="s">
        <v>133</v>
      </c>
      <c r="W38" s="2" t="s">
        <v>134</v>
      </c>
      <c r="X38" s="2" t="s">
        <v>135</v>
      </c>
      <c r="Z38" s="31"/>
      <c r="AI38" s="16" t="s">
        <v>183</v>
      </c>
    </row>
    <row r="39" spans="5:42">
      <c r="U39" s="31">
        <f>100*(+AC33/$E$13)</f>
        <v>273.95163453810824</v>
      </c>
      <c r="V39" s="35">
        <f>EXP(5.7226-(0.68367*LN(+U39)))</f>
        <v>6.5876283466880503</v>
      </c>
      <c r="W39" s="32">
        <f>(+V39*U39)/100</f>
        <v>18.04691553304767</v>
      </c>
      <c r="X39" s="31">
        <f>100*((((W39/100)-((W39/100)-0.03574)*$E$25)-0.03574-0.00619)/0.344)</f>
        <v>31.43780020670831</v>
      </c>
      <c r="Y39">
        <v>0</v>
      </c>
      <c r="Z39" s="31">
        <f>X39+Y39</f>
        <v>31.43780020670831</v>
      </c>
      <c r="AA39" s="31">
        <f>100*($E$21*$E$23+($E$22*(Z39/100))/(1-$E$25))</f>
        <v>25.876810283575928</v>
      </c>
      <c r="AB39" s="32">
        <f>AA39/U39</f>
        <v>9.4457586745941888E-2</v>
      </c>
      <c r="AC39" s="30">
        <f>ROUND($E$12/(1-AB39),0)</f>
        <v>2768143</v>
      </c>
      <c r="AD39" t="str">
        <f>IF(OR(OR(AC39=AC33,AC39=(AC33+1)),AC39=(AC25-1)),"yes","not yet")</f>
        <v>not yet</v>
      </c>
      <c r="AE39" s="31">
        <f>100*(1-AB39)</f>
        <v>90.554241325405812</v>
      </c>
      <c r="AI39" s="31">
        <f>HLOOKUP($AI$38,$AI$32:$AQ$36,$E$16+1)</f>
        <v>273.17503190268263</v>
      </c>
    </row>
    <row r="40" spans="5:42">
      <c r="U40" s="31">
        <f>100*(+AC34/$E$13)</f>
        <v>273.48713358647171</v>
      </c>
      <c r="V40" s="35">
        <f>EXP(5.70827-(0.68367*LN(+U40)))</f>
        <v>6.5014393003238204</v>
      </c>
      <c r="W40" s="32">
        <f>(+V40*U40)/100</f>
        <v>17.780599984319977</v>
      </c>
      <c r="X40" s="31">
        <f>100*((((W40/100)-((W40/100)-0.03574)*$E$25)-0.03574-0.00619)/0.344)</f>
        <v>30.826203452362748</v>
      </c>
      <c r="Y40">
        <v>0</v>
      </c>
      <c r="Z40" s="31">
        <f>X40+Y40</f>
        <v>30.826203452362748</v>
      </c>
      <c r="AA40" s="31">
        <f>100*($E$21*$E$23+($E$22*(Z40/100))/(1-$E$25))</f>
        <v>25.41230641951601</v>
      </c>
      <c r="AB40" s="32">
        <f>AA40/U40</f>
        <v>9.2919568413557918E-2</v>
      </c>
      <c r="AC40" s="30">
        <f>ROUND($E$12/(1-AB40),0)</f>
        <v>2763449</v>
      </c>
      <c r="AD40" t="str">
        <f>IF(OR(OR(AC40=AC34,AC40=(AC34+1)),AC40=(AC34-1)),"yes","not yet")</f>
        <v>not yet</v>
      </c>
      <c r="AE40" s="31">
        <f>100*(1-AB40)</f>
        <v>90.708043158644202</v>
      </c>
    </row>
    <row r="41" spans="5:42">
      <c r="U41" s="31">
        <f>100*(+AC35/$E$13)</f>
        <v>273.17450742470027</v>
      </c>
      <c r="V41" s="35">
        <f>EXP(5.6985-(0.68367*LN(U41)))</f>
        <v>6.4432659132148995</v>
      </c>
      <c r="W41" s="32">
        <f>(+V41*U41)/100</f>
        <v>17.601359920488417</v>
      </c>
      <c r="X41" s="31">
        <f>100*((((W41/100)-((W41/100)-0.03574)*$E$25)-0.03574-0.00619)/0.344)</f>
        <v>30.414576561586777</v>
      </c>
      <c r="Y41">
        <v>0</v>
      </c>
      <c r="Z41" s="31">
        <f>X41+Y41</f>
        <v>30.414576561586777</v>
      </c>
      <c r="AA41" s="31">
        <f>100*($E$21*$E$23+($E$22*(Z41/100))/(1-$E$25))</f>
        <v>25.099678401205143</v>
      </c>
      <c r="AB41" s="32">
        <f>AA41/U41</f>
        <v>9.1881481320594288E-2</v>
      </c>
      <c r="AC41" s="30">
        <f>ROUND($E$12/(1-AB41),0)</f>
        <v>2760290</v>
      </c>
      <c r="AD41" t="str">
        <f>IF(OR(OR(AC41=AC35,AC41=(AC35+1)),AC41=(AC35-1)),"yes","not yet")</f>
        <v>not yet</v>
      </c>
      <c r="AE41" s="31">
        <f>100*(1-AB41)</f>
        <v>90.811851867940575</v>
      </c>
      <c r="AI41" t="str">
        <f>HLOOKUP(1,$AI$17:$AQ$21,$E$16+1)</f>
        <v>not yet</v>
      </c>
      <c r="AJ41" t="str">
        <f>HLOOKUP(2,$AI$17:$AQ$21,$E$16+1)</f>
        <v>not yet</v>
      </c>
      <c r="AK41" t="str">
        <f>HLOOKUP(3,$AI$17:$AQ$21,$E$16+1)</f>
        <v>not yet</v>
      </c>
      <c r="AL41" t="str">
        <f>HLOOKUP(4,$AI$17:$AQ$21,$E$16+1)</f>
        <v>not yet</v>
      </c>
      <c r="AM41" t="str">
        <f>HLOOKUP(5,$AI$17:$AQ$21,$E$16+1)</f>
        <v>not yet</v>
      </c>
      <c r="AN41">
        <f>HLOOKUP(7,$AI$17:$AQ$21,$E$16+1)</f>
        <v>2760290</v>
      </c>
      <c r="AO41">
        <f>HLOOKUP(8,$AI$17:$AQ$21,$E$16+1)</f>
        <v>2760290</v>
      </c>
      <c r="AP41">
        <f>HLOOKUP(9,$AI$17:$AQ$21,$E$16+1)</f>
        <v>2760290</v>
      </c>
    </row>
    <row r="42" spans="5:42">
      <c r="U42" s="31">
        <f>100*(+AC36/$E$13)</f>
        <v>272.97464395659995</v>
      </c>
      <c r="V42" s="35">
        <f>EXP(5.6922-(0.68367*LN(U42)))</f>
        <v>6.4060055624938554</v>
      </c>
      <c r="W42" s="32">
        <f>(+V42*U42)/100</f>
        <v>17.486770876057591</v>
      </c>
      <c r="X42" s="31">
        <f>100*((((W42/100)-((W42/100)-0.03574)*$E$25)-0.03574-0.00619)/0.344)</f>
        <v>30.151421488620638</v>
      </c>
      <c r="Y42">
        <v>0</v>
      </c>
      <c r="Z42" s="31">
        <f>X42+Y42</f>
        <v>30.151421488620638</v>
      </c>
      <c r="AA42" s="31">
        <f>100*($E$21*$E$23+($E$22*(Z42/100))/(1-$E$25))</f>
        <v>24.899813788825796</v>
      </c>
      <c r="AB42" s="32">
        <f>AA42/U42</f>
        <v>9.1216581246954934E-2</v>
      </c>
      <c r="AC42" s="30">
        <f>ROUND($E$12/(1-AB42),0)</f>
        <v>2758271</v>
      </c>
      <c r="AD42" t="str">
        <f>IF(OR(OR(AC42=AC36,AC42=(AC36+1)),AC42=(AC36-1)),"yes","not yet")</f>
        <v>not yet</v>
      </c>
      <c r="AE42" s="31">
        <f>100*(1-AB42)</f>
        <v>90.8783418753045</v>
      </c>
      <c r="AH42">
        <v>1</v>
      </c>
      <c r="AI42" s="30">
        <f>AC9</f>
        <v>2747056.2993391687</v>
      </c>
      <c r="AJ42" s="30">
        <f>AC15</f>
        <v>2769504.8311834936</v>
      </c>
      <c r="AK42" s="30">
        <f>AC21</f>
        <v>2768055.4581428966</v>
      </c>
      <c r="AL42" s="30">
        <f>AC27</f>
        <v>2768148.4319319716</v>
      </c>
      <c r="AM42" s="30">
        <f>AC33</f>
        <v>2768142.4654023279</v>
      </c>
      <c r="AN42" s="30">
        <f>AB45</f>
        <v>9.4457575523231543E-2</v>
      </c>
      <c r="AO42" s="30">
        <f>AB51</f>
        <v>9.4457575523231543E-2</v>
      </c>
      <c r="AP42" s="30">
        <f>AB57</f>
        <v>9.4457575523231543E-2</v>
      </c>
    </row>
    <row r="43" spans="5:42">
      <c r="Z43" s="31"/>
      <c r="AH43">
        <v>2</v>
      </c>
      <c r="AI43" s="30">
        <f>AC10</f>
        <v>2742542.0110304002</v>
      </c>
      <c r="AJ43" s="30">
        <f>AC16</f>
        <v>2764772.6514913943</v>
      </c>
      <c r="AK43" s="30">
        <f>AC22</f>
        <v>2763366.0492371107</v>
      </c>
      <c r="AL43" s="30">
        <f>AC28</f>
        <v>2763454.4804312717</v>
      </c>
      <c r="AM43" s="30">
        <f>AC34</f>
        <v>2763448.9186322466</v>
      </c>
      <c r="AN43" s="30">
        <f>AB46</f>
        <v>9.2919566733802222E-2</v>
      </c>
      <c r="AO43" s="30">
        <f>AB52</f>
        <v>9.2919566733802222E-2</v>
      </c>
      <c r="AP43" s="30">
        <f>AB58</f>
        <v>9.2919566733802222E-2</v>
      </c>
    </row>
    <row r="44" spans="5:42">
      <c r="U44" s="16" t="s">
        <v>186</v>
      </c>
      <c r="V44" s="2" t="s">
        <v>133</v>
      </c>
      <c r="W44" s="2" t="s">
        <v>134</v>
      </c>
      <c r="X44" s="2" t="s">
        <v>135</v>
      </c>
      <c r="Z44" s="31"/>
      <c r="AH44">
        <v>3</v>
      </c>
      <c r="AI44" s="30">
        <f>AC11</f>
        <v>2739509.4631037405</v>
      </c>
      <c r="AJ44" s="30">
        <f>AC17</f>
        <v>2761587.6247345274</v>
      </c>
      <c r="AK44" s="30">
        <f>AC23</f>
        <v>2760209.8567870148</v>
      </c>
      <c r="AL44" s="30">
        <f>AC29</f>
        <v>2760295.2892484437</v>
      </c>
      <c r="AM44" s="30">
        <f>AC35</f>
        <v>2760289.9896641667</v>
      </c>
      <c r="AN44" s="30">
        <f>AB47</f>
        <v>9.1881481109662363E-2</v>
      </c>
      <c r="AO44" s="30">
        <f>AB53</f>
        <v>9.1881481109662363E-2</v>
      </c>
      <c r="AP44" s="30">
        <f>AB59</f>
        <v>9.1881481109662363E-2</v>
      </c>
    </row>
    <row r="45" spans="5:42">
      <c r="U45" s="31">
        <f>100*(+AC39/$E$13)</f>
        <v>273.95168744503337</v>
      </c>
      <c r="V45" s="35">
        <f>EXP(5.7226-(0.68367*LN(+U45)))</f>
        <v>6.587627476898537</v>
      </c>
      <c r="W45" s="32">
        <f>(+V45*U45)/100</f>
        <v>18.046916635556219</v>
      </c>
      <c r="X45" s="31">
        <f>100*((((W45/100)-((W45/100)-0.03574)*$E$25)-0.03574-0.00619)/0.344)</f>
        <v>31.437802738632016</v>
      </c>
      <c r="Y45">
        <v>0</v>
      </c>
      <c r="Z45" s="31">
        <f>X45+Y45</f>
        <v>31.437802738632016</v>
      </c>
      <c r="AA45" s="31">
        <f>100*($E$21*$E$23+($E$22*(Z45/100))/(1-$E$25))</f>
        <v>25.876812206555961</v>
      </c>
      <c r="AB45" s="32">
        <f>AA45/U45</f>
        <v>9.4457575523231543E-2</v>
      </c>
      <c r="AC45" s="30">
        <f>ROUND($E$12/(1-AB45),0)</f>
        <v>2768143</v>
      </c>
      <c r="AD45" t="str">
        <f>IF(OR(OR(AC45=AC39,AC45=(AC39+1)),AC45=(AC31-1)),"yes","not yet")</f>
        <v>yes</v>
      </c>
      <c r="AE45" s="31">
        <f>100*(1-AB45)</f>
        <v>90.554242447676842</v>
      </c>
      <c r="AH45">
        <v>4</v>
      </c>
      <c r="AI45" s="30">
        <f>AC12</f>
        <v>2737573.1502095419</v>
      </c>
      <c r="AJ45" s="30">
        <f>AC18</f>
        <v>2759551.3876062734</v>
      </c>
      <c r="AK45" s="30">
        <f>AC24</f>
        <v>2758192.0662063472</v>
      </c>
      <c r="AL45" s="30">
        <f>AC30</f>
        <v>2758275.6067908942</v>
      </c>
      <c r="AM45" s="30">
        <f>AC36</f>
        <v>2758270.4705827641</v>
      </c>
      <c r="AN45" s="30">
        <f>AB48</f>
        <v>9.1216570522953594E-2</v>
      </c>
      <c r="AO45" s="30">
        <f>AB54</f>
        <v>9.1216570522953594E-2</v>
      </c>
      <c r="AP45" s="30">
        <f>AB60</f>
        <v>9.1216570522953594E-2</v>
      </c>
    </row>
    <row r="46" spans="5:42">
      <c r="U46" s="31">
        <f>100*(+AC40/$E$13)</f>
        <v>273.4871416391025</v>
      </c>
      <c r="V46" s="35">
        <f>EXP(5.70827-(0.68367*LN(+U46)))</f>
        <v>6.501439169448755</v>
      </c>
      <c r="W46" s="32">
        <f>(+V46*U46)/100</f>
        <v>17.780600149930407</v>
      </c>
      <c r="X46" s="31">
        <f>100*((((W46/100)-((W46/100)-0.03574)*$E$25)-0.03574-0.00619)/0.344)</f>
        <v>30.826203832689021</v>
      </c>
      <c r="Y46">
        <v>0</v>
      </c>
      <c r="Z46" s="31">
        <f>X46+Y46</f>
        <v>30.826203832689021</v>
      </c>
      <c r="AA46" s="31">
        <f>100*($E$21*$E$23+($E$22*(Z46/100))/(1-$E$25))</f>
        <v>25.412306708371407</v>
      </c>
      <c r="AB46" s="32">
        <f>AA46/U46</f>
        <v>9.2919566733802222E-2</v>
      </c>
      <c r="AC46" s="30">
        <f>ROUND($E$12/(1-AB46),0)</f>
        <v>2763449</v>
      </c>
      <c r="AD46" t="str">
        <f>IF(OR(OR(AC46=AC40,AC46=(AC40+1)),AC46=(AC40-1)),"yes","not yet")</f>
        <v>yes</v>
      </c>
      <c r="AE46" s="31">
        <f>100*(1-AB46)</f>
        <v>90.708043326619787</v>
      </c>
    </row>
    <row r="47" spans="5:42">
      <c r="U47" s="31">
        <f>100*(+AC41/$E$13)</f>
        <v>273.17450844759509</v>
      </c>
      <c r="V47" s="35">
        <f>EXP(5.6985-(0.68367*LN(U47)))</f>
        <v>6.4432658967202379</v>
      </c>
      <c r="W47" s="32">
        <f>(+V47*U47)/100</f>
        <v>17.601359941337037</v>
      </c>
      <c r="X47" s="31">
        <f>100*((((W47/100)-((W47/100)-0.03574)*$E$25)-0.03574-0.00619)/0.344)</f>
        <v>30.414576609465865</v>
      </c>
      <c r="Y47">
        <v>0</v>
      </c>
      <c r="Z47" s="31">
        <f>X47+Y47</f>
        <v>30.414576609465865</v>
      </c>
      <c r="AA47" s="31">
        <f>100*($E$21*$E$23+($E$22*(Z47/100))/(1-$E$25))</f>
        <v>25.099678437569011</v>
      </c>
      <c r="AB47" s="32">
        <f>AA47/U47</f>
        <v>9.1881481109662363E-2</v>
      </c>
      <c r="AC47" s="30">
        <f>ROUND($E$12/(1-AB47),0)</f>
        <v>2760290</v>
      </c>
      <c r="AD47" t="str">
        <f>IF(OR(OR(AC47=AC41,AC47=(AC41+1)),AC47=(AC41-1)),"yes","not yet")</f>
        <v>yes</v>
      </c>
      <c r="AE47" s="31">
        <f>100*(1-AB47)</f>
        <v>90.811851889033761</v>
      </c>
      <c r="AI47" s="16" t="s">
        <v>183</v>
      </c>
    </row>
    <row r="48" spans="5:42">
      <c r="U48" s="31">
        <f>100*(+AC42/$E$13)</f>
        <v>272.97469635083871</v>
      </c>
      <c r="V48" s="35">
        <f>EXP(5.6922-(0.68367*LN(U48)))</f>
        <v>6.4060047218830061</v>
      </c>
      <c r="W48" s="32">
        <f>(+V48*U48)/100</f>
        <v>17.486771937780524</v>
      </c>
      <c r="X48" s="31">
        <f>100*((((W48/100)-((W48/100)-0.03574)*$E$25)-0.03574-0.00619)/0.344)</f>
        <v>30.151423926879694</v>
      </c>
      <c r="Y48">
        <v>0</v>
      </c>
      <c r="Z48" s="31">
        <f>X48+Y48</f>
        <v>30.151423926879694</v>
      </c>
      <c r="AA48" s="31">
        <f>100*($E$21*$E$23+($E$22*(Z48/100))/(1-$E$25))</f>
        <v>24.899815640668123</v>
      </c>
      <c r="AB48" s="32">
        <f>AA48/U48</f>
        <v>9.1216570522953594E-2</v>
      </c>
      <c r="AC48" s="30">
        <f>ROUND($E$12/(1-AB48),0)</f>
        <v>2758271</v>
      </c>
      <c r="AD48" t="str">
        <f>IF(OR(OR(AC48=AC42,AC48=(AC42+1)),AC48=(AC42-1)),"yes","not yet")</f>
        <v>yes</v>
      </c>
      <c r="AE48" s="31">
        <f>100*(1-AB48)</f>
        <v>90.878342947704638</v>
      </c>
      <c r="AI48" s="30">
        <f>HLOOKUP($AI$38,$AI$41:$AQ$45,$E$16+1)</f>
        <v>2760289.9896641667</v>
      </c>
    </row>
    <row r="49" spans="4:31">
      <c r="Z49" s="31"/>
    </row>
    <row r="50" spans="4:31">
      <c r="D50" s="30"/>
      <c r="E50" s="30"/>
      <c r="F50" s="30"/>
      <c r="U50" s="16" t="s">
        <v>187</v>
      </c>
      <c r="V50" s="2" t="s">
        <v>133</v>
      </c>
      <c r="W50" s="2" t="s">
        <v>134</v>
      </c>
      <c r="X50" s="2" t="s">
        <v>135</v>
      </c>
      <c r="Z50" s="31"/>
    </row>
    <row r="51" spans="4:31">
      <c r="D51" s="30"/>
      <c r="E51" s="30"/>
      <c r="F51" s="30"/>
      <c r="U51" s="31">
        <f>100*(+AC45/$E$13)</f>
        <v>273.95168744503337</v>
      </c>
      <c r="V51" s="35">
        <f>EXP(5.7226-(0.68367*LN(+U51)))</f>
        <v>6.587627476898537</v>
      </c>
      <c r="W51" s="32">
        <f>(+V51*U51)/100</f>
        <v>18.046916635556219</v>
      </c>
      <c r="X51" s="31">
        <f>100*((((W51/100)-((W51/100)-0.03574)*$E$25)-0.03574-0.00619)/0.344)</f>
        <v>31.437802738632016</v>
      </c>
      <c r="Y51">
        <v>0</v>
      </c>
      <c r="Z51" s="31">
        <f>X51+Y51</f>
        <v>31.437802738632016</v>
      </c>
      <c r="AA51" s="31">
        <f>100*($E$21*$E$23+($E$22*(Z51/100))/(1-$E$25))</f>
        <v>25.876812206555961</v>
      </c>
      <c r="AB51" s="32">
        <f>AA51/U51</f>
        <v>9.4457575523231543E-2</v>
      </c>
      <c r="AC51" s="30">
        <f>ROUND($E$12/(1-AB51),0)</f>
        <v>2768143</v>
      </c>
      <c r="AD51" t="str">
        <f>IF(OR(OR(AC51=AC45,AC51=(AC45+1)),AC51=(AC37-1)),"yes","not yet")</f>
        <v>yes</v>
      </c>
      <c r="AE51" s="31">
        <f>100*(1-AB51)</f>
        <v>90.554242447676842</v>
      </c>
    </row>
    <row r="52" spans="4:31">
      <c r="U52" s="31">
        <f>100*(+AC46/$E$13)</f>
        <v>273.4871416391025</v>
      </c>
      <c r="V52" s="35">
        <f>EXP(5.70827-(0.68367*LN(+U52)))</f>
        <v>6.501439169448755</v>
      </c>
      <c r="W52" s="32">
        <f>(+V52*U52)/100</f>
        <v>17.780600149930407</v>
      </c>
      <c r="X52" s="31">
        <f>100*((((W52/100)-((W52/100)-0.03574)*$E$25)-0.03574-0.00619)/0.344)</f>
        <v>30.826203832689021</v>
      </c>
      <c r="Y52">
        <v>0</v>
      </c>
      <c r="Z52" s="31">
        <f>X52+Y52</f>
        <v>30.826203832689021</v>
      </c>
      <c r="AA52" s="31">
        <f>100*($E$21*$E$23+($E$22*(Z52/100))/(1-$E$25))</f>
        <v>25.412306708371407</v>
      </c>
      <c r="AB52" s="32">
        <f>AA52/U52</f>
        <v>9.2919566733802222E-2</v>
      </c>
      <c r="AC52" s="30">
        <f>ROUND($E$12/(1-AB52),0)</f>
        <v>2763449</v>
      </c>
      <c r="AD52" t="str">
        <f>IF(OR(OR(AC52=AC46,AC52=(AC46+1)),AC52=(AC46-1)),"yes","not yet")</f>
        <v>yes</v>
      </c>
      <c r="AE52" s="31">
        <f>100*(1-AB52)</f>
        <v>90.708043326619787</v>
      </c>
    </row>
    <row r="53" spans="4:31">
      <c r="U53" s="31">
        <f>100*(+AC47/$E$13)</f>
        <v>273.17450844759509</v>
      </c>
      <c r="V53" s="35">
        <f>EXP(5.6985-(0.68367*LN(U53)))</f>
        <v>6.4432658967202379</v>
      </c>
      <c r="W53" s="32">
        <f>(+V53*U53)/100</f>
        <v>17.601359941337037</v>
      </c>
      <c r="X53" s="31">
        <f>100*((((W53/100)-((W53/100)-0.03574)*$E$25)-0.03574-0.00619)/0.344)</f>
        <v>30.414576609465865</v>
      </c>
      <c r="Y53">
        <v>0</v>
      </c>
      <c r="Z53" s="31">
        <f>X53+Y53</f>
        <v>30.414576609465865</v>
      </c>
      <c r="AA53" s="31">
        <f>100*($E$21*$E$23+($E$22*(Z53/100))/(1-$E$25))</f>
        <v>25.099678437569011</v>
      </c>
      <c r="AB53" s="32">
        <f>AA53/U53</f>
        <v>9.1881481109662363E-2</v>
      </c>
      <c r="AC53" s="30">
        <f>ROUND($E$12/(1-AB53),0)</f>
        <v>2760290</v>
      </c>
      <c r="AD53" t="str">
        <f>IF(OR(OR(AC53=AC47,AC53=(AC47+1)),AC53=(AC47-1)),"yes","not yet")</f>
        <v>yes</v>
      </c>
      <c r="AE53" s="31">
        <f>100*(1-AB53)</f>
        <v>90.811851889033761</v>
      </c>
    </row>
    <row r="54" spans="4:31">
      <c r="U54" s="31">
        <f>100*(+AC48/$E$13)</f>
        <v>272.97469635083871</v>
      </c>
      <c r="V54" s="35">
        <f>EXP(5.6922-(0.68367*LN(U54)))</f>
        <v>6.4060047218830061</v>
      </c>
      <c r="W54" s="32">
        <f>(+V54*U54)/100</f>
        <v>17.486771937780524</v>
      </c>
      <c r="X54" s="31">
        <f>100*((((W54/100)-((W54/100)-0.03574)*$E$25)-0.03574-0.00619)/0.344)</f>
        <v>30.151423926879694</v>
      </c>
      <c r="Y54">
        <v>0</v>
      </c>
      <c r="Z54" s="31">
        <f>X54+Y54</f>
        <v>30.151423926879694</v>
      </c>
      <c r="AA54" s="31">
        <f>100*($E$21*$E$23+($E$22*(Z54/100))/(1-$E$25))</f>
        <v>24.899815640668123</v>
      </c>
      <c r="AB54" s="32">
        <f>AA54/U54</f>
        <v>9.1216570522953594E-2</v>
      </c>
      <c r="AC54" s="30">
        <f>ROUND($E$12/(1-AB54),0)</f>
        <v>2758271</v>
      </c>
      <c r="AD54" t="str">
        <f>IF(OR(OR(AC54=AC48,AC54=(AC48+1)),AC54=(AC48-1)),"yes","not yet")</f>
        <v>yes</v>
      </c>
      <c r="AE54" s="31">
        <f>100*(1-AB54)</f>
        <v>90.878342947704638</v>
      </c>
    </row>
    <row r="55" spans="4:31">
      <c r="Z55" s="31"/>
    </row>
    <row r="56" spans="4:31">
      <c r="U56" s="16" t="s">
        <v>188</v>
      </c>
      <c r="V56" s="2" t="s">
        <v>133</v>
      </c>
      <c r="W56" s="2" t="s">
        <v>134</v>
      </c>
      <c r="X56" s="2" t="s">
        <v>135</v>
      </c>
      <c r="Z56" s="31"/>
    </row>
    <row r="57" spans="4:31">
      <c r="U57" s="31">
        <f>100*(+AC51/$E$13)</f>
        <v>273.95168744503337</v>
      </c>
      <c r="V57" s="35">
        <f>EXP(5.7226-(0.68367*LN(+U57)))</f>
        <v>6.587627476898537</v>
      </c>
      <c r="W57" s="32">
        <f>(+V57*U57)/100</f>
        <v>18.046916635556219</v>
      </c>
      <c r="X57" s="31">
        <f>100*((((W57/100)-((W57/100)-0.03574)*$E$25)-0.03574-0.00619)/0.344)</f>
        <v>31.437802738632016</v>
      </c>
      <c r="Y57">
        <v>0</v>
      </c>
      <c r="Z57" s="31">
        <f>X57+Y57</f>
        <v>31.437802738632016</v>
      </c>
      <c r="AA57" s="31">
        <f>100*($E$21*$E$23+($E$22*(Z57/100))/(1-$E$25))</f>
        <v>25.876812206555961</v>
      </c>
      <c r="AB57" s="32">
        <f>AA57/U57</f>
        <v>9.4457575523231543E-2</v>
      </c>
      <c r="AC57" s="30">
        <f>ROUND($E$12/(1-AB57),0)</f>
        <v>2768143</v>
      </c>
      <c r="AD57" t="str">
        <f>IF(OR(OR(AC57=AC51,AC57=(AC51+1)),AC57=(AC43-1)),"yes","not yet")</f>
        <v>yes</v>
      </c>
      <c r="AE57" s="31">
        <f>100*(1-AB57)</f>
        <v>90.554242447676842</v>
      </c>
    </row>
    <row r="58" spans="4:31">
      <c r="U58" s="31">
        <f>100*(+AC52/$E$13)</f>
        <v>273.4871416391025</v>
      </c>
      <c r="V58" s="35">
        <f>EXP(5.70827-(0.68367*LN(+U58)))</f>
        <v>6.501439169448755</v>
      </c>
      <c r="W58" s="32">
        <f>(+V58*U58)/100</f>
        <v>17.780600149930407</v>
      </c>
      <c r="X58" s="31">
        <f>100*((((W58/100)-((W58/100)-0.03574)*$E$25)-0.03574-0.00619)/0.344)</f>
        <v>30.826203832689021</v>
      </c>
      <c r="Y58">
        <v>0</v>
      </c>
      <c r="Z58" s="31">
        <f>X58+Y58</f>
        <v>30.826203832689021</v>
      </c>
      <c r="AA58" s="31">
        <f>100*($E$21*$E$23+($E$22*(Z58/100))/(1-$E$25))</f>
        <v>25.412306708371407</v>
      </c>
      <c r="AB58" s="32">
        <f>AA58/U58</f>
        <v>9.2919566733802222E-2</v>
      </c>
      <c r="AC58" s="30">
        <f>ROUND($E$12/(1-AB58),0)</f>
        <v>2763449</v>
      </c>
      <c r="AD58" t="str">
        <f>IF(OR(OR(AC58=AC52,AC58=(AC52+1)),AC58=(AC52-1)),"yes","not yet")</f>
        <v>yes</v>
      </c>
      <c r="AE58" s="31">
        <f>100*(1-AB58)</f>
        <v>90.708043326619787</v>
      </c>
    </row>
    <row r="59" spans="4:31">
      <c r="U59" s="31">
        <f>100*(+AC53/$E$13)</f>
        <v>273.17450844759509</v>
      </c>
      <c r="V59" s="35">
        <f>EXP(5.6985-(0.68367*LN(U59)))</f>
        <v>6.4432658967202379</v>
      </c>
      <c r="W59" s="32">
        <f>(+V59*U59)/100</f>
        <v>17.601359941337037</v>
      </c>
      <c r="X59" s="31">
        <f>100*((((W59/100)-((W59/100)-0.03574)*$E$25)-0.03574-0.00619)/0.344)</f>
        <v>30.414576609465865</v>
      </c>
      <c r="Y59">
        <v>0</v>
      </c>
      <c r="Z59" s="31">
        <f>X59+Y59</f>
        <v>30.414576609465865</v>
      </c>
      <c r="AA59" s="31">
        <f>100*($E$21*$E$23+($E$22*(Z59/100))/(1-$E$25))</f>
        <v>25.099678437569011</v>
      </c>
      <c r="AB59" s="32">
        <f>AA59/U59</f>
        <v>9.1881481109662363E-2</v>
      </c>
      <c r="AC59" s="30">
        <f>ROUND($E$12/(1-AB59),0)</f>
        <v>2760290</v>
      </c>
      <c r="AD59" t="str">
        <f>IF(OR(OR(AC59=AC53,AC59=(AC53+1)),AC59=(AC53-1)),"yes","not yet")</f>
        <v>yes</v>
      </c>
      <c r="AE59" s="31">
        <f>100*(1-AB59)</f>
        <v>90.811851889033761</v>
      </c>
    </row>
    <row r="60" spans="4:31">
      <c r="U60" s="31">
        <f>100*(+AC54/$E$13)</f>
        <v>272.97469635083871</v>
      </c>
      <c r="V60" s="35">
        <f>EXP(5.6922-(0.68367*LN(U60)))</f>
        <v>6.4060047218830061</v>
      </c>
      <c r="W60" s="32">
        <f>(+V60*U60)/100</f>
        <v>17.486771937780524</v>
      </c>
      <c r="X60" s="31">
        <f>100*((((W60/100)-((W60/100)-0.03574)*$E$25)-0.03574-0.00619)/0.344)</f>
        <v>30.151423926879694</v>
      </c>
      <c r="Y60">
        <v>0</v>
      </c>
      <c r="Z60" s="31">
        <f>X60+Y60</f>
        <v>30.151423926879694</v>
      </c>
      <c r="AA60" s="31">
        <f>100*($E$21*$E$23+($E$22*(Z60/100))/(1-$E$25))</f>
        <v>24.899815640668123</v>
      </c>
      <c r="AB60" s="32">
        <f>AA60/U60</f>
        <v>9.1216570522953594E-2</v>
      </c>
      <c r="AC60" s="30">
        <f>ROUND($E$12/(1-AB60),0)</f>
        <v>2758271</v>
      </c>
      <c r="AD60" t="str">
        <f>IF(OR(OR(AC60=AC54,AC60=(AC54+1)),AC60=(AC54-1)),"yes","not yet")</f>
        <v>yes</v>
      </c>
      <c r="AE60" s="31">
        <f>100*(1-AB60)</f>
        <v>90.878342947704638</v>
      </c>
    </row>
    <row r="61" spans="4:31">
      <c r="Z61" s="31"/>
    </row>
    <row r="63" spans="4:31">
      <c r="U63" s="31"/>
      <c r="V63" s="35"/>
      <c r="W63" s="32"/>
      <c r="X63" s="31"/>
      <c r="AA63" s="31"/>
      <c r="AB63" s="32"/>
      <c r="AC63" s="30"/>
    </row>
    <row r="64" spans="4:31">
      <c r="U64" s="31"/>
      <c r="V64" s="35"/>
      <c r="W64" s="32"/>
      <c r="X64" s="31"/>
      <c r="AA64" s="31"/>
      <c r="AB64" s="32"/>
      <c r="AC64" s="30"/>
    </row>
    <row r="65" spans="20:29">
      <c r="U65" s="31"/>
      <c r="V65" s="35"/>
      <c r="W65" s="32"/>
      <c r="X65" s="31"/>
      <c r="AA65" s="31"/>
      <c r="AB65" s="32"/>
      <c r="AC65" s="30"/>
    </row>
    <row r="66" spans="20:29">
      <c r="U66" s="31"/>
      <c r="V66" s="35"/>
      <c r="W66" s="32"/>
      <c r="X66" s="31"/>
      <c r="AA66" s="31"/>
      <c r="AB66" s="32"/>
      <c r="AC66" s="30"/>
    </row>
    <row r="69" spans="20:29">
      <c r="U69" s="31"/>
      <c r="V69" s="35"/>
      <c r="W69" s="32"/>
      <c r="X69" s="31"/>
      <c r="AA69" s="31"/>
      <c r="AB69" s="32"/>
      <c r="AC69" s="30"/>
    </row>
    <row r="70" spans="20:29">
      <c r="U70" s="31"/>
      <c r="V70" s="35"/>
      <c r="W70" s="32"/>
      <c r="X70" s="31"/>
      <c r="AA70" s="31"/>
      <c r="AB70" s="32"/>
      <c r="AC70" s="30"/>
    </row>
    <row r="71" spans="20:29">
      <c r="T71" s="31"/>
      <c r="U71" s="35"/>
      <c r="V71" s="32"/>
      <c r="W71" s="31"/>
      <c r="Z71" s="31"/>
      <c r="AA71" s="32"/>
      <c r="AB71" s="30"/>
    </row>
    <row r="72" spans="20:29">
      <c r="T72" s="31"/>
      <c r="U72" s="35"/>
      <c r="V72" s="32"/>
      <c r="W72" s="31"/>
      <c r="Z72" s="31"/>
      <c r="AA72" s="32"/>
      <c r="AB72" s="30"/>
    </row>
    <row r="75" spans="20:29">
      <c r="T75" s="31"/>
      <c r="U75" s="35"/>
      <c r="V75" s="32"/>
      <c r="W75" s="31"/>
      <c r="Z75" s="31"/>
      <c r="AA75" s="32"/>
      <c r="AB75" s="30"/>
    </row>
    <row r="76" spans="20:29">
      <c r="T76" s="31"/>
      <c r="U76" s="35"/>
      <c r="V76" s="32"/>
      <c r="W76" s="31"/>
      <c r="Z76" s="31"/>
      <c r="AA76" s="32"/>
      <c r="AB76" s="30"/>
    </row>
    <row r="77" spans="20:29">
      <c r="T77" s="31"/>
      <c r="U77" s="35"/>
      <c r="V77" s="32"/>
      <c r="W77" s="31"/>
      <c r="Z77" s="31"/>
      <c r="AA77" s="32"/>
      <c r="AB77" s="30"/>
    </row>
    <row r="78" spans="20:29">
      <c r="T78" s="31"/>
      <c r="U78" s="35"/>
      <c r="V78" s="32"/>
      <c r="W78" s="31"/>
      <c r="Z78" s="31"/>
      <c r="AA78" s="32"/>
      <c r="AB78" s="30"/>
    </row>
    <row r="81" spans="20:28">
      <c r="T81" s="31"/>
      <c r="U81" s="35"/>
      <c r="V81" s="32"/>
      <c r="W81" s="31"/>
      <c r="Z81" s="31"/>
      <c r="AA81" s="32"/>
      <c r="AB81" s="30"/>
    </row>
    <row r="82" spans="20:28">
      <c r="T82" s="31"/>
      <c r="U82" s="35"/>
      <c r="V82" s="32"/>
      <c r="W82" s="31"/>
      <c r="Z82" s="31"/>
      <c r="AA82" s="32"/>
      <c r="AB82" s="30"/>
    </row>
    <row r="83" spans="20:28">
      <c r="T83" s="31"/>
      <c r="U83" s="35"/>
      <c r="V83" s="32"/>
      <c r="W83" s="31"/>
      <c r="Z83" s="31"/>
      <c r="AA83" s="32"/>
      <c r="AB83" s="30"/>
    </row>
    <row r="84" spans="20:28">
      <c r="T84" s="31"/>
      <c r="U84" s="35"/>
      <c r="V84" s="32"/>
      <c r="W84" s="31"/>
      <c r="Z84" s="31"/>
      <c r="AA84" s="32"/>
      <c r="AB84" s="30"/>
    </row>
    <row r="87" spans="20:28">
      <c r="T87" s="31"/>
      <c r="U87" s="35"/>
      <c r="V87" s="32"/>
      <c r="W87" s="31"/>
      <c r="Z87" s="31"/>
      <c r="AA87" s="32"/>
      <c r="AB87" s="30"/>
    </row>
    <row r="88" spans="20:28">
      <c r="T88" s="31"/>
      <c r="U88" s="35"/>
      <c r="V88" s="32"/>
      <c r="W88" s="31"/>
      <c r="Z88" s="31"/>
      <c r="AA88" s="32"/>
      <c r="AB88" s="30"/>
    </row>
    <row r="89" spans="20:28">
      <c r="T89" s="31"/>
      <c r="U89" s="35"/>
      <c r="V89" s="32"/>
      <c r="W89" s="31"/>
      <c r="Z89" s="31"/>
      <c r="AA89" s="32"/>
      <c r="AB89" s="30"/>
    </row>
    <row r="90" spans="20:28">
      <c r="T90" s="31"/>
      <c r="U90" s="35"/>
      <c r="V90" s="32"/>
      <c r="W90" s="31"/>
      <c r="Z90" s="31"/>
      <c r="AA90" s="32"/>
      <c r="AB90" s="30"/>
    </row>
    <row r="93" spans="20:28">
      <c r="T93" s="31"/>
      <c r="U93" s="35"/>
      <c r="V93" s="32"/>
      <c r="W93" s="31"/>
      <c r="Z93" s="31"/>
      <c r="AA93" s="32"/>
      <c r="AB93" s="30"/>
    </row>
    <row r="94" spans="20:28">
      <c r="T94" s="31"/>
      <c r="U94" s="35"/>
      <c r="V94" s="32"/>
      <c r="W94" s="31"/>
      <c r="Z94" s="31"/>
      <c r="AA94" s="32"/>
      <c r="AB94" s="30"/>
    </row>
    <row r="95" spans="20:28">
      <c r="T95" s="31"/>
      <c r="U95" s="35"/>
      <c r="V95" s="32"/>
      <c r="W95" s="31"/>
      <c r="Z95" s="31"/>
      <c r="AA95" s="32"/>
      <c r="AB95" s="30"/>
    </row>
    <row r="96" spans="20:28">
      <c r="T96" s="31"/>
      <c r="U96" s="35"/>
      <c r="V96" s="32"/>
      <c r="W96" s="31"/>
      <c r="Z96" s="31"/>
      <c r="AA96" s="32"/>
      <c r="AB96" s="30"/>
    </row>
  </sheetData>
  <phoneticPr fontId="0" type="noConversion"/>
  <pageMargins left="0.75" right="0.75" top="0.54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107"/>
  <sheetViews>
    <sheetView topLeftCell="A13" workbookViewId="0">
      <selection activeCell="F56" sqref="F56"/>
    </sheetView>
  </sheetViews>
  <sheetFormatPr defaultRowHeight="12.75"/>
  <cols>
    <col min="1" max="1" width="5.42578125" customWidth="1"/>
    <col min="2" max="2" width="26.7109375" customWidth="1"/>
    <col min="3" max="3" width="14.140625" customWidth="1"/>
    <col min="4" max="4" width="3.5703125" customWidth="1"/>
    <col min="5" max="5" width="7.42578125" customWidth="1"/>
    <col min="6" max="6" width="12" customWidth="1"/>
    <col min="7" max="7" width="3.28515625" customWidth="1"/>
    <col min="9" max="9" width="11.140625" customWidth="1"/>
    <col min="10" max="10" width="3.42578125" customWidth="1"/>
    <col min="12" max="12" width="11.140625" customWidth="1"/>
    <col min="13" max="13" width="4.28515625" customWidth="1"/>
    <col min="14" max="14" width="12.5703125" customWidth="1"/>
  </cols>
  <sheetData>
    <row r="1" spans="1:16">
      <c r="A1" t="s">
        <v>0</v>
      </c>
    </row>
    <row r="3" spans="1:16">
      <c r="A3" s="83" t="s">
        <v>343</v>
      </c>
      <c r="E3" s="643"/>
      <c r="F3" s="643" t="s">
        <v>1342</v>
      </c>
      <c r="G3" s="643" t="s">
        <v>689</v>
      </c>
    </row>
    <row r="5" spans="1:16">
      <c r="A5" s="643" t="s">
        <v>1435</v>
      </c>
    </row>
    <row r="6" spans="1:16">
      <c r="A6" s="83"/>
    </row>
    <row r="7" spans="1:16">
      <c r="A7" s="1"/>
      <c r="E7" s="786" t="s">
        <v>104</v>
      </c>
      <c r="F7" s="786"/>
      <c r="H7" s="786" t="s">
        <v>108</v>
      </c>
      <c r="I7" s="786"/>
      <c r="K7" s="786" t="s">
        <v>109</v>
      </c>
      <c r="L7" s="786"/>
    </row>
    <row r="8" spans="1:16">
      <c r="C8" s="2" t="s">
        <v>88</v>
      </c>
      <c r="E8" s="786" t="s">
        <v>105</v>
      </c>
      <c r="F8" s="786"/>
      <c r="H8" s="786" t="s">
        <v>105</v>
      </c>
      <c r="I8" s="786"/>
      <c r="K8" s="786" t="s">
        <v>105</v>
      </c>
      <c r="L8" s="786"/>
      <c r="N8" s="2" t="s">
        <v>2</v>
      </c>
      <c r="O8" s="2" t="s">
        <v>2</v>
      </c>
    </row>
    <row r="9" spans="1:16" ht="13.5" thickBot="1">
      <c r="C9" s="3" t="s">
        <v>93</v>
      </c>
      <c r="D9" s="3"/>
      <c r="E9" s="3" t="s">
        <v>106</v>
      </c>
      <c r="F9" s="3" t="s">
        <v>107</v>
      </c>
      <c r="G9" s="3"/>
      <c r="H9" s="3" t="s">
        <v>106</v>
      </c>
      <c r="I9" s="3" t="s">
        <v>107</v>
      </c>
      <c r="J9" s="3"/>
      <c r="K9" s="3" t="s">
        <v>106</v>
      </c>
      <c r="L9" s="3" t="s">
        <v>107</v>
      </c>
      <c r="M9" s="3"/>
      <c r="N9" s="3" t="s">
        <v>107</v>
      </c>
      <c r="O9" s="3" t="s">
        <v>106</v>
      </c>
    </row>
    <row r="10" spans="1:16" ht="13.5" thickTop="1"/>
    <row r="11" spans="1:16">
      <c r="A11" t="s">
        <v>3</v>
      </c>
    </row>
    <row r="12" spans="1:16">
      <c r="A12">
        <v>3100</v>
      </c>
      <c r="B12" t="s">
        <v>5</v>
      </c>
      <c r="C12" s="6">
        <f>'Staff Pro Forma'!I11</f>
        <v>2021399.1700000002</v>
      </c>
      <c r="E12" s="15">
        <v>1</v>
      </c>
      <c r="F12" s="6">
        <f>+C12*E12</f>
        <v>2021399.1700000002</v>
      </c>
      <c r="H12" s="11"/>
      <c r="I12" s="6">
        <f>+C12*H12</f>
        <v>0</v>
      </c>
      <c r="K12" s="11"/>
      <c r="L12" s="6">
        <f>+C12*K12</f>
        <v>0</v>
      </c>
      <c r="M12" s="6"/>
      <c r="N12" s="6">
        <f>+F12+I12+L12</f>
        <v>2021399.1700000002</v>
      </c>
      <c r="O12" s="11">
        <f>+E12+H12+K12</f>
        <v>1</v>
      </c>
      <c r="P12" t="str">
        <f t="shared" ref="P12:P20" si="0">IF(O12&lt;&gt;1,"ERR"," ")</f>
        <v xml:space="preserve"> </v>
      </c>
    </row>
    <row r="13" spans="1:16">
      <c r="A13">
        <v>3112</v>
      </c>
      <c r="B13" t="s">
        <v>6</v>
      </c>
      <c r="C13" s="6">
        <f>'Staff Pro Forma'!I12</f>
        <v>284029.66524999996</v>
      </c>
      <c r="E13" s="15"/>
      <c r="F13" s="6">
        <f t="shared" ref="F13:F20" si="1">+C13*E13</f>
        <v>0</v>
      </c>
      <c r="H13" s="15">
        <v>1</v>
      </c>
      <c r="I13" s="6">
        <f t="shared" ref="I13:I20" si="2">+C13*H13</f>
        <v>284029.66524999996</v>
      </c>
      <c r="K13" s="11"/>
      <c r="L13" s="6">
        <f t="shared" ref="L13:L20" si="3">+C13*K13</f>
        <v>0</v>
      </c>
      <c r="M13" s="6"/>
      <c r="N13" s="6">
        <f t="shared" ref="N13:N20" si="4">+F13+I13+L13</f>
        <v>284029.66524999996</v>
      </c>
      <c r="O13" s="11">
        <f t="shared" ref="O13:O20" si="5">+E13+H13+K13</f>
        <v>1</v>
      </c>
      <c r="P13" t="str">
        <f t="shared" si="0"/>
        <v xml:space="preserve"> </v>
      </c>
    </row>
    <row r="14" spans="1:16">
      <c r="A14">
        <v>3114</v>
      </c>
      <c r="B14" t="s">
        <v>7</v>
      </c>
      <c r="C14" s="6">
        <f>'Staff Pro Forma'!I13</f>
        <v>120521.7264</v>
      </c>
      <c r="E14" s="15"/>
      <c r="F14" s="6">
        <f t="shared" si="1"/>
        <v>0</v>
      </c>
      <c r="H14" s="11"/>
      <c r="I14" s="6">
        <f t="shared" si="2"/>
        <v>0</v>
      </c>
      <c r="K14" s="15">
        <v>1</v>
      </c>
      <c r="L14" s="6">
        <f t="shared" si="3"/>
        <v>120521.7264</v>
      </c>
      <c r="M14" s="6"/>
      <c r="N14" s="6">
        <f t="shared" si="4"/>
        <v>120521.7264</v>
      </c>
      <c r="O14" s="11">
        <f t="shared" si="5"/>
        <v>1</v>
      </c>
      <c r="P14" t="str">
        <f t="shared" si="0"/>
        <v xml:space="preserve"> </v>
      </c>
    </row>
    <row r="15" spans="1:16">
      <c r="A15">
        <v>3300</v>
      </c>
      <c r="B15" t="s">
        <v>8</v>
      </c>
      <c r="C15" s="6">
        <f>'Staff Pro Forma'!I14</f>
        <v>241108.40100000001</v>
      </c>
      <c r="E15" s="15">
        <v>1</v>
      </c>
      <c r="F15" s="6">
        <f t="shared" si="1"/>
        <v>241108.40100000001</v>
      </c>
      <c r="H15" s="11"/>
      <c r="I15" s="6">
        <f t="shared" si="2"/>
        <v>0</v>
      </c>
      <c r="K15" s="11"/>
      <c r="L15" s="6">
        <f t="shared" si="3"/>
        <v>0</v>
      </c>
      <c r="M15" s="6"/>
      <c r="N15" s="6">
        <f t="shared" si="4"/>
        <v>241108.40100000001</v>
      </c>
      <c r="O15" s="11">
        <f t="shared" si="5"/>
        <v>1</v>
      </c>
      <c r="P15" t="str">
        <f t="shared" si="0"/>
        <v xml:space="preserve"> </v>
      </c>
    </row>
    <row r="16" spans="1:16">
      <c r="A16">
        <v>3310</v>
      </c>
      <c r="B16" t="s">
        <v>9</v>
      </c>
      <c r="C16" s="6">
        <f>'Staff Pro Forma'!I15</f>
        <v>365930.97</v>
      </c>
      <c r="E16" s="15">
        <v>1</v>
      </c>
      <c r="F16" s="6">
        <f t="shared" si="1"/>
        <v>365930.97</v>
      </c>
      <c r="H16" s="11"/>
      <c r="I16" s="6">
        <f t="shared" si="2"/>
        <v>0</v>
      </c>
      <c r="K16" s="11"/>
      <c r="L16" s="6">
        <f t="shared" si="3"/>
        <v>0</v>
      </c>
      <c r="M16" s="6"/>
      <c r="N16" s="6">
        <f t="shared" si="4"/>
        <v>365930.97</v>
      </c>
      <c r="O16" s="11">
        <f t="shared" si="5"/>
        <v>1</v>
      </c>
      <c r="P16" t="str">
        <f t="shared" si="0"/>
        <v xml:space="preserve"> </v>
      </c>
    </row>
    <row r="17" spans="1:18">
      <c r="A17">
        <v>3510</v>
      </c>
      <c r="B17" t="s">
        <v>327</v>
      </c>
      <c r="C17" s="6">
        <f>'Staff Pro Forma'!I16</f>
        <v>77041.150000000009</v>
      </c>
      <c r="E17" s="15">
        <v>1</v>
      </c>
      <c r="F17" s="6">
        <f t="shared" si="1"/>
        <v>77041.150000000009</v>
      </c>
      <c r="H17" s="11"/>
      <c r="I17" s="6">
        <f t="shared" si="2"/>
        <v>0</v>
      </c>
      <c r="K17" s="11"/>
      <c r="L17" s="6">
        <f t="shared" si="3"/>
        <v>0</v>
      </c>
      <c r="M17" s="6"/>
      <c r="N17" s="6">
        <f t="shared" si="4"/>
        <v>77041.150000000009</v>
      </c>
      <c r="O17" s="11">
        <f t="shared" si="5"/>
        <v>1</v>
      </c>
      <c r="P17" t="str">
        <f t="shared" si="0"/>
        <v xml:space="preserve"> </v>
      </c>
    </row>
    <row r="18" spans="1:18">
      <c r="A18">
        <v>3550</v>
      </c>
      <c r="B18" t="s">
        <v>328</v>
      </c>
      <c r="C18" s="6">
        <f>'Staff Pro Forma'!I17</f>
        <v>47391.199999999997</v>
      </c>
      <c r="E18" s="15">
        <v>1</v>
      </c>
      <c r="F18" s="6">
        <f t="shared" si="1"/>
        <v>47391.199999999997</v>
      </c>
      <c r="H18" s="11"/>
      <c r="I18" s="6">
        <f t="shared" si="2"/>
        <v>0</v>
      </c>
      <c r="K18" s="11"/>
      <c r="L18" s="6">
        <f t="shared" si="3"/>
        <v>0</v>
      </c>
      <c r="M18" s="6"/>
      <c r="N18" s="6">
        <f t="shared" si="4"/>
        <v>47391.199999999997</v>
      </c>
      <c r="O18" s="11">
        <f t="shared" si="5"/>
        <v>1</v>
      </c>
      <c r="P18" t="str">
        <f t="shared" si="0"/>
        <v xml:space="preserve"> </v>
      </c>
    </row>
    <row r="19" spans="1:18">
      <c r="A19">
        <v>3400</v>
      </c>
      <c r="B19" t="s">
        <v>10</v>
      </c>
      <c r="C19" s="6">
        <f>'Staff Pro Forma'!I18</f>
        <v>0</v>
      </c>
      <c r="E19" s="15"/>
      <c r="F19" s="6">
        <f t="shared" si="1"/>
        <v>0</v>
      </c>
      <c r="H19" s="11"/>
      <c r="I19" s="6">
        <f t="shared" si="2"/>
        <v>0</v>
      </c>
      <c r="K19" s="11"/>
      <c r="L19" s="6">
        <f t="shared" si="3"/>
        <v>0</v>
      </c>
      <c r="M19" s="6"/>
      <c r="N19" s="6">
        <f t="shared" si="4"/>
        <v>0</v>
      </c>
      <c r="O19" s="11">
        <f t="shared" si="5"/>
        <v>0</v>
      </c>
      <c r="P19" t="str">
        <f t="shared" si="0"/>
        <v>ERR</v>
      </c>
    </row>
    <row r="20" spans="1:18" ht="13.5" thickBot="1">
      <c r="A20">
        <v>3500</v>
      </c>
      <c r="B20" t="s">
        <v>11</v>
      </c>
      <c r="C20" s="7">
        <f>'Staff Pro Forma'!I19</f>
        <v>0</v>
      </c>
      <c r="D20" s="5"/>
      <c r="E20" s="25">
        <v>1</v>
      </c>
      <c r="F20" s="7">
        <f t="shared" si="1"/>
        <v>0</v>
      </c>
      <c r="G20" s="5"/>
      <c r="H20" s="12"/>
      <c r="I20" s="7">
        <f t="shared" si="2"/>
        <v>0</v>
      </c>
      <c r="J20" s="5"/>
      <c r="K20" s="12"/>
      <c r="L20" s="7">
        <f t="shared" si="3"/>
        <v>0</v>
      </c>
      <c r="M20" s="7"/>
      <c r="N20" s="7">
        <f t="shared" si="4"/>
        <v>0</v>
      </c>
      <c r="O20" s="12">
        <f t="shared" si="5"/>
        <v>1</v>
      </c>
      <c r="P20" t="str">
        <f t="shared" si="0"/>
        <v xml:space="preserve"> </v>
      </c>
    </row>
    <row r="21" spans="1:18">
      <c r="C21" s="6"/>
      <c r="E21" s="11"/>
      <c r="H21" s="11"/>
      <c r="K21" s="11"/>
      <c r="O21" s="11"/>
    </row>
    <row r="22" spans="1:18" ht="13.5" thickBot="1">
      <c r="B22" t="s">
        <v>4</v>
      </c>
      <c r="C22" s="7">
        <f>SUM(C12:C20)</f>
        <v>3157422.28265</v>
      </c>
      <c r="D22" s="5"/>
      <c r="E22" s="12">
        <f>+F22/C22</f>
        <v>0.87187289015061276</v>
      </c>
      <c r="F22" s="7">
        <f>SUM(F12:F20)</f>
        <v>2752870.8910000003</v>
      </c>
      <c r="G22" s="5"/>
      <c r="H22" s="12">
        <f>+I22/C22</f>
        <v>8.9956185718565354E-2</v>
      </c>
      <c r="I22" s="7">
        <f>SUM(I12:I20)</f>
        <v>284029.66524999996</v>
      </c>
      <c r="J22" s="5"/>
      <c r="K22" s="12">
        <f>+L22/C22</f>
        <v>3.8170924130822008E-2</v>
      </c>
      <c r="L22" s="7">
        <f>SUM(L12:L20)</f>
        <v>120521.7264</v>
      </c>
      <c r="M22" s="5"/>
      <c r="N22" s="7">
        <f>SUM(N12:N20)</f>
        <v>3157422.28265</v>
      </c>
      <c r="O22" s="12">
        <f>+E22+H22+K22</f>
        <v>1</v>
      </c>
    </row>
    <row r="23" spans="1:18">
      <c r="C23" s="6"/>
      <c r="E23" s="11"/>
      <c r="H23" s="11"/>
      <c r="K23" s="11"/>
      <c r="O23" s="11"/>
    </row>
    <row r="24" spans="1:18">
      <c r="A24" t="s">
        <v>12</v>
      </c>
      <c r="C24" s="6"/>
      <c r="E24" s="397" t="s">
        <v>1153</v>
      </c>
      <c r="F24" s="397"/>
      <c r="G24" s="397"/>
      <c r="H24" s="425"/>
      <c r="K24" s="11"/>
      <c r="O24" s="11"/>
    </row>
    <row r="25" spans="1:18">
      <c r="A25" t="s">
        <v>13</v>
      </c>
      <c r="C25" s="6"/>
      <c r="E25" s="426" t="s">
        <v>1166</v>
      </c>
      <c r="F25" s="432"/>
      <c r="G25" s="432"/>
      <c r="H25" s="426"/>
      <c r="K25" s="11"/>
      <c r="O25" s="11"/>
    </row>
    <row r="26" spans="1:18">
      <c r="A26">
        <v>4116</v>
      </c>
      <c r="B26" t="s">
        <v>29</v>
      </c>
      <c r="C26" s="6">
        <f>'Staff Pro Forma'!I25</f>
        <v>99700.398000000001</v>
      </c>
      <c r="E26" s="422">
        <f>+'Hours &amp; Miles'!D25</f>
        <v>0.87465887247961149</v>
      </c>
      <c r="F26" s="6">
        <f t="shared" ref="F26:F101" si="6">+C26*E26</f>
        <v>87203.837700448508</v>
      </c>
      <c r="H26" s="11">
        <f>+'Hours &amp; Miles'!E25</f>
        <v>8.6246265724825119E-2</v>
      </c>
      <c r="I26" s="6">
        <f>+C26*H26</f>
        <v>8598.787018778823</v>
      </c>
      <c r="K26" s="11">
        <f>+'Hours &amp; Miles'!F25</f>
        <v>3.9094861795563422E-2</v>
      </c>
      <c r="L26" s="6">
        <f t="shared" ref="L26:L101" si="7">+C26*K26</f>
        <v>3897.7732807726679</v>
      </c>
      <c r="N26" s="6">
        <f t="shared" ref="N26:N101" si="8">+F26+I26+L26</f>
        <v>99700.398000000001</v>
      </c>
      <c r="O26" s="11">
        <f t="shared" ref="O26:O39" si="9">+E26+H26+K26</f>
        <v>1</v>
      </c>
      <c r="P26" t="str">
        <f t="shared" ref="P26:P101" si="10">IF(O26&lt;&gt;1,"ERR"," ")</f>
        <v xml:space="preserve"> </v>
      </c>
    </row>
    <row r="27" spans="1:18">
      <c r="A27">
        <v>4117</v>
      </c>
      <c r="B27" t="s">
        <v>285</v>
      </c>
      <c r="C27" s="6">
        <f>'Staff Pro Forma'!I26</f>
        <v>3554.75</v>
      </c>
      <c r="E27" s="423">
        <v>1</v>
      </c>
      <c r="F27" s="6">
        <f>+C27*E27</f>
        <v>3554.75</v>
      </c>
      <c r="H27" s="15">
        <f>+'Hours &amp; Miles'!E26</f>
        <v>0</v>
      </c>
      <c r="I27" s="6">
        <f>+C27*H27</f>
        <v>0</v>
      </c>
      <c r="K27" s="15">
        <f>+'Hours &amp; Miles'!F26</f>
        <v>0</v>
      </c>
      <c r="L27" s="6">
        <f>+C27*K27</f>
        <v>0</v>
      </c>
      <c r="N27" s="6">
        <f>+F27+I27+L27</f>
        <v>3554.75</v>
      </c>
      <c r="O27" s="11">
        <f>+E27+H27+K27</f>
        <v>1</v>
      </c>
      <c r="P27" t="str">
        <f t="shared" si="10"/>
        <v xml:space="preserve"> </v>
      </c>
    </row>
    <row r="28" spans="1:18">
      <c r="A28">
        <v>4118</v>
      </c>
      <c r="B28" t="s">
        <v>30</v>
      </c>
      <c r="C28" s="6">
        <f>'Staff Pro Forma'!I27</f>
        <v>3089</v>
      </c>
      <c r="E28" s="422">
        <f>+'Container Count'!K27</f>
        <v>0.91603053435114501</v>
      </c>
      <c r="F28" s="6">
        <f t="shared" si="6"/>
        <v>2829.6183206106871</v>
      </c>
      <c r="H28" s="26">
        <f>+'Container Count'!K23</f>
        <v>5.6827820186598814E-2</v>
      </c>
      <c r="I28" s="6">
        <f t="shared" ref="I28:I101" si="11">+C28*H28</f>
        <v>175.54113655640373</v>
      </c>
      <c r="K28" s="27">
        <f>+'Container Count'!K25</f>
        <v>2.7141645462256149E-2</v>
      </c>
      <c r="L28" s="6">
        <f t="shared" si="7"/>
        <v>83.84054283290925</v>
      </c>
      <c r="N28" s="6">
        <f t="shared" si="8"/>
        <v>3089</v>
      </c>
      <c r="O28" s="11">
        <f t="shared" si="9"/>
        <v>1</v>
      </c>
      <c r="P28" t="str">
        <f t="shared" si="10"/>
        <v xml:space="preserve"> </v>
      </c>
    </row>
    <row r="29" spans="1:18">
      <c r="A29">
        <v>4120</v>
      </c>
      <c r="B29" t="s">
        <v>278</v>
      </c>
      <c r="C29" s="6">
        <f>'Staff Pro Forma'!I28</f>
        <v>140</v>
      </c>
      <c r="E29" s="422">
        <f>+E27</f>
        <v>1</v>
      </c>
      <c r="F29" s="6">
        <f>+C29*E29</f>
        <v>140</v>
      </c>
      <c r="H29" s="26">
        <f>+'Container Count'!K24</f>
        <v>0</v>
      </c>
      <c r="I29" s="6">
        <f>+C29*H29</f>
        <v>0</v>
      </c>
      <c r="K29" s="27">
        <f>+'Container Count'!K26</f>
        <v>0</v>
      </c>
      <c r="L29" s="6">
        <f>+C29*K29</f>
        <v>0</v>
      </c>
      <c r="N29" s="6">
        <f>+F29+I29+L29</f>
        <v>140</v>
      </c>
      <c r="O29" s="11">
        <f>+E29+H29+K29</f>
        <v>1</v>
      </c>
      <c r="P29" t="str">
        <f t="shared" si="10"/>
        <v xml:space="preserve"> </v>
      </c>
    </row>
    <row r="30" spans="1:18">
      <c r="A30">
        <v>4122</v>
      </c>
      <c r="B30" t="s">
        <v>329</v>
      </c>
      <c r="C30" s="6">
        <f>'Staff Pro Forma'!I29</f>
        <v>4619.5</v>
      </c>
      <c r="E30" s="424">
        <v>1</v>
      </c>
      <c r="F30" s="6">
        <f>+C30*E30</f>
        <v>4619.5</v>
      </c>
      <c r="H30" s="26">
        <v>0</v>
      </c>
      <c r="I30" s="6">
        <f>+C30*H30</f>
        <v>0</v>
      </c>
      <c r="K30" s="27">
        <v>0</v>
      </c>
      <c r="L30" s="6">
        <f>+C30*K30</f>
        <v>0</v>
      </c>
      <c r="N30" s="6">
        <f>+F30+I30+L30</f>
        <v>4619.5</v>
      </c>
      <c r="O30" s="11">
        <f>+E30+H30+K30</f>
        <v>1</v>
      </c>
      <c r="P30" t="str">
        <f>IF(O30&lt;&gt;1,"ERR"," ")</f>
        <v xml:space="preserve"> </v>
      </c>
    </row>
    <row r="31" spans="1:18">
      <c r="A31">
        <v>4132</v>
      </c>
      <c r="B31" t="s">
        <v>31</v>
      </c>
      <c r="C31" s="6">
        <f>'Staff Pro Forma'!I30</f>
        <v>60580.42</v>
      </c>
      <c r="E31" s="425">
        <f>+E26</f>
        <v>0.87465887247961149</v>
      </c>
      <c r="F31" s="6">
        <f>+C31*E31</f>
        <v>52987.201851541307</v>
      </c>
      <c r="H31" s="11">
        <f>+H26</f>
        <v>8.6246265724825119E-2</v>
      </c>
      <c r="I31" s="6">
        <f t="shared" si="11"/>
        <v>5224.8350010415097</v>
      </c>
      <c r="K31" s="11">
        <f>+K26</f>
        <v>3.9094861795563422E-2</v>
      </c>
      <c r="L31" s="6">
        <f t="shared" si="7"/>
        <v>2368.3831474171861</v>
      </c>
      <c r="N31" s="6">
        <f t="shared" si="8"/>
        <v>60580.420000000006</v>
      </c>
      <c r="O31" s="11">
        <f t="shared" si="9"/>
        <v>1</v>
      </c>
      <c r="P31" t="str">
        <f t="shared" si="10"/>
        <v xml:space="preserve"> </v>
      </c>
      <c r="R31" s="83" t="s">
        <v>326</v>
      </c>
    </row>
    <row r="32" spans="1:18">
      <c r="A32">
        <v>4133</v>
      </c>
      <c r="B32" t="s">
        <v>279</v>
      </c>
      <c r="C32" s="6">
        <f>'Staff Pro Forma'!I31</f>
        <v>5382.42</v>
      </c>
      <c r="E32" s="425">
        <f>+E27</f>
        <v>1</v>
      </c>
      <c r="F32" s="6">
        <f>+C32*E32</f>
        <v>5382.42</v>
      </c>
      <c r="H32" s="11">
        <f>+H27</f>
        <v>0</v>
      </c>
      <c r="I32" s="6">
        <f>+C32*H32</f>
        <v>0</v>
      </c>
      <c r="K32" s="11">
        <f>+K27</f>
        <v>0</v>
      </c>
      <c r="L32" s="6">
        <f>+C32*K32</f>
        <v>0</v>
      </c>
      <c r="N32" s="6">
        <f>+F32+I32+L32</f>
        <v>5382.42</v>
      </c>
      <c r="O32" s="11">
        <f>+E32+H32+K32</f>
        <v>1</v>
      </c>
      <c r="P32" t="str">
        <f t="shared" si="10"/>
        <v xml:space="preserve"> </v>
      </c>
    </row>
    <row r="33" spans="1:16">
      <c r="A33">
        <v>4134</v>
      </c>
      <c r="B33" t="s">
        <v>32</v>
      </c>
      <c r="C33" s="6">
        <f>'Staff Pro Forma'!I32</f>
        <v>4733.16</v>
      </c>
      <c r="E33" s="425">
        <f>+E28</f>
        <v>0.91603053435114501</v>
      </c>
      <c r="F33" s="6">
        <f t="shared" si="6"/>
        <v>4335.7190839694658</v>
      </c>
      <c r="H33" s="11">
        <f>+H28</f>
        <v>5.6827820186598814E-2</v>
      </c>
      <c r="I33" s="6">
        <f t="shared" si="11"/>
        <v>268.97516539440204</v>
      </c>
      <c r="K33" s="11">
        <f>+K28</f>
        <v>2.7141645462256149E-2</v>
      </c>
      <c r="L33" s="6">
        <f t="shared" si="7"/>
        <v>128.4657506361323</v>
      </c>
      <c r="N33" s="6">
        <f t="shared" si="8"/>
        <v>4733.1600000000008</v>
      </c>
      <c r="O33" s="11">
        <f t="shared" si="9"/>
        <v>1</v>
      </c>
      <c r="P33" t="str">
        <f t="shared" si="10"/>
        <v xml:space="preserve"> </v>
      </c>
    </row>
    <row r="34" spans="1:16">
      <c r="A34">
        <v>4136</v>
      </c>
      <c r="B34" t="s">
        <v>280</v>
      </c>
      <c r="C34" s="6">
        <f>'Staff Pro Forma'!I33</f>
        <v>526.72</v>
      </c>
      <c r="E34" s="425">
        <f>+E27</f>
        <v>1</v>
      </c>
      <c r="F34" s="6">
        <f>+C34*E34</f>
        <v>526.72</v>
      </c>
      <c r="H34" s="11">
        <f>+H29</f>
        <v>0</v>
      </c>
      <c r="I34" s="6">
        <f>+C34*H34</f>
        <v>0</v>
      </c>
      <c r="K34" s="11">
        <f>+K29</f>
        <v>0</v>
      </c>
      <c r="L34" s="6">
        <f>+C34*K34</f>
        <v>0</v>
      </c>
      <c r="N34" s="6">
        <f>+F34+I34+L34</f>
        <v>526.72</v>
      </c>
      <c r="O34" s="11">
        <f>+E34+H34+K34</f>
        <v>1</v>
      </c>
      <c r="P34" t="str">
        <f t="shared" si="10"/>
        <v xml:space="preserve"> </v>
      </c>
    </row>
    <row r="35" spans="1:16">
      <c r="A35">
        <v>4138</v>
      </c>
      <c r="B35" t="s">
        <v>330</v>
      </c>
      <c r="C35" s="6">
        <f>'Staff Pro Forma'!I34</f>
        <v>2603.9899999999998</v>
      </c>
      <c r="E35" s="425">
        <f>+E30</f>
        <v>1</v>
      </c>
      <c r="F35" s="6">
        <f>+C35*E35</f>
        <v>2603.9899999999998</v>
      </c>
      <c r="H35" s="11">
        <f>+H30</f>
        <v>0</v>
      </c>
      <c r="I35" s="6">
        <f>+C35*H35</f>
        <v>0</v>
      </c>
      <c r="K35" s="11">
        <f>+K30</f>
        <v>0</v>
      </c>
      <c r="L35" s="6">
        <f>+C35*K35</f>
        <v>0</v>
      </c>
      <c r="N35" s="6">
        <f>+F35+I35+L35</f>
        <v>2603.9899999999998</v>
      </c>
      <c r="O35" s="11">
        <f>+E35+H35+K35</f>
        <v>1</v>
      </c>
      <c r="P35" t="str">
        <f>IF(O35&lt;&gt;1,"ERR"," ")</f>
        <v xml:space="preserve"> </v>
      </c>
    </row>
    <row r="36" spans="1:16">
      <c r="A36">
        <v>4160</v>
      </c>
      <c r="B36" t="s">
        <v>33</v>
      </c>
      <c r="C36" s="6">
        <f>'Staff Pro Forma'!I35</f>
        <v>31238.010000000002</v>
      </c>
      <c r="E36" s="422">
        <f>+'Hours &amp; Miles'!D71</f>
        <v>0.87501673176845662</v>
      </c>
      <c r="F36" s="6">
        <f t="shared" si="6"/>
        <v>27333.781417150367</v>
      </c>
      <c r="H36" s="26">
        <f>+'Hours &amp; Miles'!E71</f>
        <v>8.0689713917180786E-2</v>
      </c>
      <c r="I36" s="6">
        <f t="shared" si="11"/>
        <v>2520.5860902420327</v>
      </c>
      <c r="K36" s="26">
        <f>+'Hours &amp; Miles'!F71</f>
        <v>4.4293554314362549E-2</v>
      </c>
      <c r="L36" s="6">
        <f t="shared" si="7"/>
        <v>1383.6424926076006</v>
      </c>
      <c r="N36" s="6">
        <f t="shared" si="8"/>
        <v>31238.01</v>
      </c>
      <c r="O36" s="11">
        <f t="shared" si="9"/>
        <v>1</v>
      </c>
      <c r="P36" t="str">
        <f t="shared" si="10"/>
        <v xml:space="preserve"> </v>
      </c>
    </row>
    <row r="37" spans="1:16">
      <c r="A37">
        <v>4161</v>
      </c>
      <c r="B37" t="s">
        <v>281</v>
      </c>
      <c r="C37" s="6">
        <f>'Staff Pro Forma'!I36</f>
        <v>3764.16</v>
      </c>
      <c r="E37" s="422">
        <f>+E27</f>
        <v>1</v>
      </c>
      <c r="F37" s="6">
        <f>+C37*E37</f>
        <v>3764.16</v>
      </c>
      <c r="H37" s="26">
        <f>+'Hours &amp; Miles'!E72</f>
        <v>0</v>
      </c>
      <c r="I37" s="6">
        <f>+C37*H37</f>
        <v>0</v>
      </c>
      <c r="K37" s="26">
        <f>+'Hours &amp; Miles'!F72</f>
        <v>0</v>
      </c>
      <c r="L37" s="6">
        <f>+C37*K37</f>
        <v>0</v>
      </c>
      <c r="N37" s="6">
        <f>+F37+I37+L37</f>
        <v>3764.16</v>
      </c>
      <c r="O37" s="11">
        <f>+E37+H37+K37</f>
        <v>1</v>
      </c>
      <c r="P37" t="str">
        <f t="shared" si="10"/>
        <v xml:space="preserve"> </v>
      </c>
    </row>
    <row r="38" spans="1:16">
      <c r="A38">
        <v>4162</v>
      </c>
      <c r="B38" t="s">
        <v>1275</v>
      </c>
      <c r="C38" s="6">
        <f>'Staff Pro Forma'!I37</f>
        <v>0</v>
      </c>
      <c r="E38" s="422">
        <v>1</v>
      </c>
      <c r="F38" s="6">
        <f>+C38*E38</f>
        <v>0</v>
      </c>
      <c r="H38" s="26">
        <f>+'Hours &amp; Miles'!E73</f>
        <v>0</v>
      </c>
      <c r="I38" s="6">
        <f>+C38*H38</f>
        <v>0</v>
      </c>
      <c r="K38" s="26">
        <f>+'Hours &amp; Miles'!F73</f>
        <v>0</v>
      </c>
      <c r="L38" s="6">
        <f>+C38*K38</f>
        <v>0</v>
      </c>
      <c r="N38" s="6">
        <f>+F38+I38+L38</f>
        <v>0</v>
      </c>
      <c r="O38" s="11">
        <f>+E38+H38+K38</f>
        <v>1</v>
      </c>
      <c r="P38" t="str">
        <f t="shared" ref="P38" si="12">IF(O38&lt;&gt;1,"ERR"," ")</f>
        <v xml:space="preserve"> </v>
      </c>
    </row>
    <row r="39" spans="1:16">
      <c r="A39">
        <v>4180</v>
      </c>
      <c r="B39" t="s">
        <v>34</v>
      </c>
      <c r="C39" s="6">
        <f>'Staff Pro Forma'!I38</f>
        <v>21283.934000000001</v>
      </c>
      <c r="E39" s="425">
        <f>+E26</f>
        <v>0.87465887247961149</v>
      </c>
      <c r="F39" s="6">
        <f t="shared" si="6"/>
        <v>18616.181714370468</v>
      </c>
      <c r="H39" s="11">
        <f>+H26</f>
        <v>8.6246265724825119E-2</v>
      </c>
      <c r="I39" s="6">
        <f t="shared" si="11"/>
        <v>1835.6598274336402</v>
      </c>
      <c r="K39" s="11">
        <f>+K26</f>
        <v>3.9094861795563422E-2</v>
      </c>
      <c r="L39" s="6">
        <f t="shared" si="7"/>
        <v>832.09245819589341</v>
      </c>
      <c r="N39" s="6">
        <f t="shared" si="8"/>
        <v>21283.934000000001</v>
      </c>
      <c r="O39" s="11">
        <f t="shared" si="9"/>
        <v>1</v>
      </c>
      <c r="P39" t="str">
        <f t="shared" si="10"/>
        <v xml:space="preserve"> </v>
      </c>
    </row>
    <row r="40" spans="1:16">
      <c r="A40" t="s">
        <v>16</v>
      </c>
      <c r="C40" s="6">
        <f>'Staff Pro Forma'!I39</f>
        <v>0</v>
      </c>
      <c r="E40" s="11"/>
      <c r="F40" s="6"/>
      <c r="H40" s="11"/>
      <c r="I40" s="6"/>
      <c r="K40" s="11"/>
      <c r="L40" s="6"/>
      <c r="N40" s="6"/>
      <c r="O40" s="11"/>
    </row>
    <row r="41" spans="1:16">
      <c r="A41">
        <v>4210</v>
      </c>
      <c r="B41" t="s">
        <v>35</v>
      </c>
      <c r="C41" s="6">
        <f>'Staff Pro Forma'!I40</f>
        <v>0</v>
      </c>
      <c r="E41" s="425">
        <f>+E26</f>
        <v>0.87465887247961149</v>
      </c>
      <c r="F41" s="6">
        <f t="shared" si="6"/>
        <v>0</v>
      </c>
      <c r="H41" s="11">
        <f>+H26</f>
        <v>8.6246265724825119E-2</v>
      </c>
      <c r="I41" s="6">
        <f t="shared" si="11"/>
        <v>0</v>
      </c>
      <c r="K41" s="11">
        <f>+K26</f>
        <v>3.9094861795563422E-2</v>
      </c>
      <c r="L41" s="6">
        <f t="shared" si="7"/>
        <v>0</v>
      </c>
      <c r="N41" s="6">
        <f t="shared" si="8"/>
        <v>0</v>
      </c>
      <c r="O41" s="11">
        <f t="shared" ref="O41:O49" si="13">+E41+H41+K41</f>
        <v>1</v>
      </c>
      <c r="P41" t="str">
        <f t="shared" si="10"/>
        <v xml:space="preserve"> </v>
      </c>
    </row>
    <row r="42" spans="1:16">
      <c r="A42">
        <v>4213</v>
      </c>
      <c r="B42" t="s">
        <v>36</v>
      </c>
      <c r="C42" s="6">
        <f>'Staff Pro Forma'!I41</f>
        <v>344174.53</v>
      </c>
      <c r="E42" s="425">
        <f>+E26</f>
        <v>0.87465887247961149</v>
      </c>
      <c r="F42" s="6">
        <f t="shared" si="6"/>
        <v>301035.30634600023</v>
      </c>
      <c r="H42" s="11">
        <f>+H26</f>
        <v>8.6246265724825119E-2</v>
      </c>
      <c r="I42" s="6">
        <f t="shared" si="11"/>
        <v>29683.767970096796</v>
      </c>
      <c r="K42" s="11">
        <f>+K26</f>
        <v>3.9094861795563422E-2</v>
      </c>
      <c r="L42" s="6">
        <f t="shared" si="7"/>
        <v>13455.455683902997</v>
      </c>
      <c r="N42" s="6">
        <f t="shared" si="8"/>
        <v>344174.53</v>
      </c>
      <c r="O42" s="11">
        <f t="shared" si="13"/>
        <v>1</v>
      </c>
      <c r="P42" t="str">
        <f t="shared" si="10"/>
        <v xml:space="preserve"> </v>
      </c>
    </row>
    <row r="43" spans="1:16">
      <c r="A43">
        <v>4215</v>
      </c>
      <c r="B43" t="s">
        <v>37</v>
      </c>
      <c r="C43" s="6">
        <f>'Staff Pro Forma'!I42</f>
        <v>41679.339999999997</v>
      </c>
      <c r="E43" s="422">
        <f>+E27</f>
        <v>1</v>
      </c>
      <c r="F43" s="6">
        <f t="shared" si="6"/>
        <v>41679.339999999997</v>
      </c>
      <c r="H43" s="26">
        <f>+H27</f>
        <v>0</v>
      </c>
      <c r="I43" s="6">
        <f t="shared" si="11"/>
        <v>0</v>
      </c>
      <c r="K43" s="26">
        <f>+K27</f>
        <v>0</v>
      </c>
      <c r="L43" s="6">
        <f t="shared" si="7"/>
        <v>0</v>
      </c>
      <c r="N43" s="6">
        <f t="shared" si="8"/>
        <v>41679.339999999997</v>
      </c>
      <c r="O43" s="11">
        <f t="shared" si="13"/>
        <v>1</v>
      </c>
      <c r="P43" t="str">
        <f t="shared" si="10"/>
        <v xml:space="preserve"> </v>
      </c>
    </row>
    <row r="44" spans="1:16">
      <c r="A44">
        <v>4217</v>
      </c>
      <c r="B44" t="s">
        <v>284</v>
      </c>
      <c r="C44" s="6">
        <f>'Staff Pro Forma'!I43</f>
        <v>9199</v>
      </c>
      <c r="E44" s="425">
        <f>+E26</f>
        <v>0.87465887247961149</v>
      </c>
      <c r="F44" s="6">
        <f>+C44*E44</f>
        <v>8045.9869679399462</v>
      </c>
      <c r="H44" s="11">
        <f>+H41</f>
        <v>8.6246265724825119E-2</v>
      </c>
      <c r="I44" s="6">
        <f>+C44*H44</f>
        <v>793.37939840266631</v>
      </c>
      <c r="K44" s="11">
        <f>+K42</f>
        <v>3.9094861795563422E-2</v>
      </c>
      <c r="L44" s="6">
        <f>+C44*K44</f>
        <v>359.63363365738792</v>
      </c>
      <c r="N44" s="6">
        <f>+F44+I44+L44</f>
        <v>9199</v>
      </c>
      <c r="O44" s="11">
        <f t="shared" si="13"/>
        <v>1</v>
      </c>
      <c r="P44" t="str">
        <f t="shared" si="10"/>
        <v xml:space="preserve"> </v>
      </c>
    </row>
    <row r="45" spans="1:16">
      <c r="A45">
        <v>4222</v>
      </c>
      <c r="B45" t="s">
        <v>331</v>
      </c>
      <c r="C45" s="6">
        <f>'Staff Pro Forma'!I44</f>
        <v>9409.880000000001</v>
      </c>
      <c r="E45" s="425">
        <f>E30</f>
        <v>1</v>
      </c>
      <c r="F45" s="6">
        <f>+C45*E45</f>
        <v>9409.880000000001</v>
      </c>
      <c r="H45" s="11">
        <v>0</v>
      </c>
      <c r="I45" s="6">
        <f>+C45*H45</f>
        <v>0</v>
      </c>
      <c r="K45" s="11">
        <f>+K43</f>
        <v>0</v>
      </c>
      <c r="L45" s="6">
        <f>+C45*K45</f>
        <v>0</v>
      </c>
      <c r="N45" s="6">
        <f>+F45+I45+L45</f>
        <v>9409.880000000001</v>
      </c>
      <c r="O45" s="11">
        <f>+E45+H45+K45</f>
        <v>1</v>
      </c>
      <c r="P45" t="str">
        <f>IF(O45&lt;&gt;1,"ERR"," ")</f>
        <v xml:space="preserve"> </v>
      </c>
    </row>
    <row r="46" spans="1:16">
      <c r="A46">
        <v>4240</v>
      </c>
      <c r="B46" t="s">
        <v>38</v>
      </c>
      <c r="C46" s="6">
        <f>'Staff Pro Forma'!I45</f>
        <v>111084.39</v>
      </c>
      <c r="E46" s="425">
        <f>+E26</f>
        <v>0.87465887247961149</v>
      </c>
      <c r="F46" s="6">
        <f t="shared" si="6"/>
        <v>97160.947307485432</v>
      </c>
      <c r="H46" s="11">
        <f>+H26</f>
        <v>8.6246265724825119E-2</v>
      </c>
      <c r="I46" s="6">
        <f t="shared" si="11"/>
        <v>9580.6138178201054</v>
      </c>
      <c r="K46" s="11">
        <f>+K26</f>
        <v>3.9094861795563422E-2</v>
      </c>
      <c r="L46" s="6">
        <f t="shared" si="7"/>
        <v>4342.8288746944672</v>
      </c>
      <c r="N46" s="6">
        <f t="shared" si="8"/>
        <v>111084.39000000001</v>
      </c>
      <c r="O46" s="11">
        <f t="shared" si="13"/>
        <v>1</v>
      </c>
      <c r="P46" t="str">
        <f t="shared" si="10"/>
        <v xml:space="preserve"> </v>
      </c>
    </row>
    <row r="47" spans="1:16">
      <c r="A47">
        <v>4241</v>
      </c>
      <c r="B47" t="s">
        <v>282</v>
      </c>
      <c r="C47" s="6">
        <f>'Staff Pro Forma'!I46</f>
        <v>24776.99</v>
      </c>
      <c r="E47" s="425">
        <f>+E27</f>
        <v>1</v>
      </c>
      <c r="F47" s="6">
        <f>+C47*E47</f>
        <v>24776.99</v>
      </c>
      <c r="H47" s="11">
        <f>+H27</f>
        <v>0</v>
      </c>
      <c r="I47" s="6">
        <f>+C47*H47</f>
        <v>0</v>
      </c>
      <c r="K47" s="11">
        <f>+K27</f>
        <v>0</v>
      </c>
      <c r="L47" s="6">
        <f>+C47*K47</f>
        <v>0</v>
      </c>
      <c r="N47" s="6">
        <f>+F47+I47+L47</f>
        <v>24776.99</v>
      </c>
      <c r="O47" s="11">
        <f t="shared" si="13"/>
        <v>1</v>
      </c>
      <c r="P47" t="str">
        <f t="shared" si="10"/>
        <v xml:space="preserve"> </v>
      </c>
    </row>
    <row r="48" spans="1:16">
      <c r="A48">
        <v>4244</v>
      </c>
      <c r="B48" t="s">
        <v>332</v>
      </c>
      <c r="C48" s="6">
        <f>'Staff Pro Forma'!I47</f>
        <v>3085.0899999999997</v>
      </c>
      <c r="E48" s="425">
        <f>E45</f>
        <v>1</v>
      </c>
      <c r="F48" s="6">
        <f>+C48*E48</f>
        <v>3085.0899999999997</v>
      </c>
      <c r="H48" s="11">
        <v>0</v>
      </c>
      <c r="I48" s="6">
        <f>+C48*H48</f>
        <v>0</v>
      </c>
      <c r="K48" s="11">
        <v>0</v>
      </c>
      <c r="L48" s="6">
        <f>+C48*K48</f>
        <v>0</v>
      </c>
      <c r="N48" s="6">
        <f>+F48+I48+L48</f>
        <v>3085.0899999999997</v>
      </c>
      <c r="O48" s="11">
        <f>+E48+H48+K48</f>
        <v>1</v>
      </c>
      <c r="P48" t="str">
        <f>IF(O48&lt;&gt;1,"ERR"," ")</f>
        <v xml:space="preserve"> </v>
      </c>
    </row>
    <row r="49" spans="1:16">
      <c r="A49">
        <v>4280</v>
      </c>
      <c r="B49" t="s">
        <v>39</v>
      </c>
      <c r="C49" s="6">
        <f>'Staff Pro Forma'!I48</f>
        <v>14224.23</v>
      </c>
      <c r="E49" s="425">
        <f>+E26</f>
        <v>0.87465887247961149</v>
      </c>
      <c r="F49" s="6">
        <f t="shared" si="6"/>
        <v>12441.348973690663</v>
      </c>
      <c r="H49" s="11">
        <f>+H26</f>
        <v>8.6246265724825119E-2</v>
      </c>
      <c r="I49" s="6">
        <f t="shared" si="11"/>
        <v>1226.7867203110291</v>
      </c>
      <c r="K49" s="11">
        <f>+K26</f>
        <v>3.9094861795563422E-2</v>
      </c>
      <c r="L49" s="6">
        <f t="shared" si="7"/>
        <v>556.09430599830705</v>
      </c>
      <c r="N49" s="6">
        <f t="shared" si="8"/>
        <v>14224.23</v>
      </c>
      <c r="O49" s="11">
        <f t="shared" si="13"/>
        <v>1</v>
      </c>
      <c r="P49" t="str">
        <f t="shared" si="10"/>
        <v xml:space="preserve"> </v>
      </c>
    </row>
    <row r="50" spans="1:16">
      <c r="A50">
        <v>4282</v>
      </c>
      <c r="B50" t="s">
        <v>334</v>
      </c>
      <c r="C50" s="6">
        <f>'Staff Pro Forma'!I49</f>
        <v>0</v>
      </c>
      <c r="E50" s="425">
        <f>E48</f>
        <v>1</v>
      </c>
      <c r="F50" s="6">
        <f>+C50*E50</f>
        <v>0</v>
      </c>
      <c r="H50" s="11">
        <f>+H27</f>
        <v>0</v>
      </c>
      <c r="I50" s="6">
        <f>+C50*H50</f>
        <v>0</v>
      </c>
      <c r="K50" s="11">
        <f>+K27</f>
        <v>0</v>
      </c>
      <c r="L50" s="6">
        <f>+C50*K50</f>
        <v>0</v>
      </c>
      <c r="N50" s="6">
        <f>+F50+I50+L50</f>
        <v>0</v>
      </c>
      <c r="O50" s="11">
        <f>+E50+H50+K50</f>
        <v>1</v>
      </c>
      <c r="P50" t="str">
        <f>IF(O50&lt;&gt;1,"ERR"," ")</f>
        <v xml:space="preserve"> </v>
      </c>
    </row>
    <row r="51" spans="1:16">
      <c r="A51" t="s">
        <v>17</v>
      </c>
      <c r="C51" s="6">
        <f>'Staff Pro Forma'!I50</f>
        <v>0</v>
      </c>
      <c r="E51" s="11"/>
      <c r="F51" s="6"/>
      <c r="H51" s="11"/>
      <c r="I51" s="6"/>
      <c r="K51" s="11"/>
      <c r="L51" s="6"/>
      <c r="N51" s="6"/>
      <c r="O51" s="11"/>
    </row>
    <row r="52" spans="1:16">
      <c r="A52">
        <v>4360</v>
      </c>
      <c r="B52" t="s">
        <v>40</v>
      </c>
      <c r="C52" s="6">
        <f>'Staff Pro Forma'!I51</f>
        <v>448986.76</v>
      </c>
      <c r="E52" s="422">
        <f>+'Monthly Data-Disposal Fees'!$L$50+'Monthly Data-Disposal Fees'!$M$50+'Monthly Data-Disposal Fees'!$N$50</f>
        <v>0.99700961998218463</v>
      </c>
      <c r="F52" s="6">
        <f t="shared" si="6"/>
        <v>447644.11896463233</v>
      </c>
      <c r="H52" s="26">
        <f>+'Monthly Data-Disposal Fees'!$P$50</f>
        <v>2.6414067773692803E-3</v>
      </c>
      <c r="I52" s="6">
        <f t="shared" si="11"/>
        <v>1185.9566708130744</v>
      </c>
      <c r="K52" s="26">
        <f>+'Monthly Data-Disposal Fees'!$O$50</f>
        <v>3.4897324044637774E-4</v>
      </c>
      <c r="L52" s="6">
        <f t="shared" si="7"/>
        <v>156.6843645547201</v>
      </c>
      <c r="N52" s="6">
        <f t="shared" si="8"/>
        <v>448986.76000000013</v>
      </c>
      <c r="O52" s="11">
        <f>+E52+H52+K52</f>
        <v>1.0000000000000002</v>
      </c>
      <c r="P52" t="str">
        <f t="shared" si="10"/>
        <v xml:space="preserve"> </v>
      </c>
    </row>
    <row r="53" spans="1:16">
      <c r="A53">
        <v>4361</v>
      </c>
      <c r="B53" t="s">
        <v>41</v>
      </c>
      <c r="C53" s="6">
        <f>'Staff Pro Forma'!I52</f>
        <v>255383.11</v>
      </c>
      <c r="E53" s="423">
        <v>1</v>
      </c>
      <c r="F53" s="6">
        <f t="shared" si="6"/>
        <v>255383.11</v>
      </c>
      <c r="H53" s="15">
        <v>0</v>
      </c>
      <c r="I53" s="6">
        <f t="shared" si="11"/>
        <v>0</v>
      </c>
      <c r="K53" s="15">
        <v>0</v>
      </c>
      <c r="L53" s="6">
        <f t="shared" si="7"/>
        <v>0</v>
      </c>
      <c r="N53" s="6">
        <f t="shared" si="8"/>
        <v>255383.11</v>
      </c>
      <c r="O53" s="11">
        <f>+E53+H53+K53</f>
        <v>1</v>
      </c>
      <c r="P53" t="str">
        <f t="shared" si="10"/>
        <v xml:space="preserve"> </v>
      </c>
    </row>
    <row r="54" spans="1:16">
      <c r="A54">
        <v>4362</v>
      </c>
      <c r="B54" t="s">
        <v>42</v>
      </c>
      <c r="C54" s="6">
        <f>'Staff Pro Forma'!I53</f>
        <v>250601.41000000003</v>
      </c>
      <c r="E54" s="422">
        <f>+'Monthly Data-Disposal Fees'!$L$27+'Monthly Data-Disposal Fees'!$M$27+'Monthly Data-Disposal Fees'!$N$27</f>
        <v>0.48008511647583746</v>
      </c>
      <c r="F54" s="6">
        <f t="shared" si="6"/>
        <v>120310.00710885911</v>
      </c>
      <c r="H54" s="26">
        <f>+'Monthly Data-Disposal Fees'!$P$27</f>
        <v>0.37393649687970881</v>
      </c>
      <c r="I54" s="6">
        <f>+C54*H54</f>
        <v>93709.013368515647</v>
      </c>
      <c r="K54" s="26">
        <f>+'Monthly Data-Disposal Fees'!$O$27</f>
        <v>0.14597838664445378</v>
      </c>
      <c r="L54" s="6">
        <f t="shared" si="7"/>
        <v>36582.389522625293</v>
      </c>
      <c r="N54" s="6">
        <f t="shared" si="8"/>
        <v>250601.41000000003</v>
      </c>
      <c r="O54" s="11">
        <f>+E54+H54+K54</f>
        <v>1</v>
      </c>
      <c r="P54" t="str">
        <f t="shared" si="10"/>
        <v xml:space="preserve"> </v>
      </c>
    </row>
    <row r="55" spans="1:16">
      <c r="A55">
        <v>4363</v>
      </c>
      <c r="B55" t="s">
        <v>43</v>
      </c>
      <c r="C55" s="6">
        <f>'Staff Pro Forma'!I54</f>
        <v>110547.86</v>
      </c>
      <c r="E55" s="423">
        <v>1</v>
      </c>
      <c r="F55" s="6">
        <f t="shared" si="6"/>
        <v>110547.86</v>
      </c>
      <c r="H55" s="15">
        <v>0</v>
      </c>
      <c r="I55" s="6">
        <f t="shared" si="11"/>
        <v>0</v>
      </c>
      <c r="K55" s="15">
        <v>0</v>
      </c>
      <c r="L55" s="6">
        <f t="shared" si="7"/>
        <v>0</v>
      </c>
      <c r="N55" s="6">
        <f t="shared" si="8"/>
        <v>110547.86</v>
      </c>
      <c r="O55" s="11">
        <f>+E55+H55+K55</f>
        <v>1</v>
      </c>
      <c r="P55" t="str">
        <f t="shared" si="10"/>
        <v xml:space="preserve"> </v>
      </c>
    </row>
    <row r="56" spans="1:16">
      <c r="A56">
        <v>4380</v>
      </c>
      <c r="B56" t="s">
        <v>335</v>
      </c>
      <c r="C56" s="6">
        <f>'Staff Pro Forma'!I55</f>
        <v>11243.690000000002</v>
      </c>
      <c r="E56" s="423">
        <v>1</v>
      </c>
      <c r="F56" s="6">
        <f>+C56*E56</f>
        <v>11243.690000000002</v>
      </c>
      <c r="H56" s="15">
        <v>0</v>
      </c>
      <c r="I56" s="6">
        <f>+C56*H56</f>
        <v>0</v>
      </c>
      <c r="K56" s="15">
        <v>0</v>
      </c>
      <c r="L56" s="6">
        <f>+C56*K56</f>
        <v>0</v>
      </c>
      <c r="N56" s="6">
        <f>+F56+I56+L56</f>
        <v>11243.690000000002</v>
      </c>
      <c r="O56" s="11">
        <f>+E56+H56+K56</f>
        <v>1</v>
      </c>
      <c r="P56" t="str">
        <f>IF(O56&lt;&gt;1,"ERR"," ")</f>
        <v xml:space="preserve"> </v>
      </c>
    </row>
    <row r="57" spans="1:16">
      <c r="A57" t="s">
        <v>14</v>
      </c>
      <c r="C57" s="6">
        <f>'Staff Pro Forma'!I56</f>
        <v>0</v>
      </c>
      <c r="E57" s="11"/>
      <c r="F57" s="6"/>
      <c r="H57" s="11"/>
      <c r="I57" s="6"/>
      <c r="K57" s="11"/>
      <c r="L57" s="6"/>
      <c r="N57" s="6"/>
      <c r="O57" s="11"/>
    </row>
    <row r="58" spans="1:16">
      <c r="A58">
        <v>4430</v>
      </c>
      <c r="B58" t="s">
        <v>44</v>
      </c>
      <c r="C58" s="6">
        <f>'Staff Pro Forma'!I57</f>
        <v>0</v>
      </c>
      <c r="E58" s="425">
        <v>1</v>
      </c>
      <c r="F58" s="6">
        <f t="shared" si="6"/>
        <v>0</v>
      </c>
      <c r="H58" s="11">
        <v>0</v>
      </c>
      <c r="I58" s="6">
        <f t="shared" si="11"/>
        <v>0</v>
      </c>
      <c r="K58" s="11">
        <v>0</v>
      </c>
      <c r="L58" s="6">
        <f t="shared" si="7"/>
        <v>0</v>
      </c>
      <c r="N58" s="6">
        <f t="shared" si="8"/>
        <v>0</v>
      </c>
      <c r="O58" s="11">
        <f>+E58+H58+K58</f>
        <v>1</v>
      </c>
      <c r="P58" t="str">
        <f t="shared" si="10"/>
        <v xml:space="preserve"> </v>
      </c>
    </row>
    <row r="59" spans="1:16">
      <c r="A59">
        <v>4450</v>
      </c>
      <c r="B59" t="s">
        <v>45</v>
      </c>
      <c r="C59" s="6">
        <f>'Staff Pro Forma'!I58</f>
        <v>3734.3199999999997</v>
      </c>
      <c r="E59" s="423">
        <v>1</v>
      </c>
      <c r="F59" s="6">
        <f t="shared" si="6"/>
        <v>3734.3199999999997</v>
      </c>
      <c r="H59" s="15">
        <v>0</v>
      </c>
      <c r="I59" s="6">
        <f t="shared" si="11"/>
        <v>0</v>
      </c>
      <c r="K59" s="15">
        <v>0</v>
      </c>
      <c r="L59" s="6">
        <f t="shared" si="7"/>
        <v>0</v>
      </c>
      <c r="N59" s="6">
        <f t="shared" si="8"/>
        <v>3734.3199999999997</v>
      </c>
      <c r="O59" s="11">
        <f>+E59+H59+K59</f>
        <v>1</v>
      </c>
      <c r="P59" t="str">
        <f t="shared" si="10"/>
        <v xml:space="preserve"> </v>
      </c>
    </row>
    <row r="60" spans="1:16">
      <c r="A60" t="s">
        <v>15</v>
      </c>
      <c r="C60" s="6">
        <f>'Staff Pro Forma'!I59</f>
        <v>0</v>
      </c>
      <c r="E60" s="11"/>
      <c r="F60" s="6"/>
      <c r="H60" s="11"/>
      <c r="I60" s="6"/>
      <c r="K60" s="11"/>
      <c r="L60" s="6"/>
      <c r="N60" s="6"/>
      <c r="O60" s="11"/>
    </row>
    <row r="61" spans="1:16">
      <c r="A61">
        <v>4530</v>
      </c>
      <c r="B61" t="s">
        <v>46</v>
      </c>
      <c r="C61" s="6">
        <f>'Staff Pro Forma'!I60</f>
        <v>74682.400000000009</v>
      </c>
      <c r="E61" s="425">
        <f>+E26</f>
        <v>0.87465887247961149</v>
      </c>
      <c r="F61" s="6">
        <f t="shared" si="6"/>
        <v>65321.623778071342</v>
      </c>
      <c r="H61" s="11">
        <f>+H26</f>
        <v>8.6246265724825119E-2</v>
      </c>
      <c r="I61" s="6">
        <f t="shared" si="11"/>
        <v>6441.0781153676799</v>
      </c>
      <c r="K61" s="11">
        <f>+K26</f>
        <v>3.9094861795563422E-2</v>
      </c>
      <c r="L61" s="6">
        <f t="shared" si="7"/>
        <v>2919.6981065609862</v>
      </c>
      <c r="N61" s="6">
        <f t="shared" si="8"/>
        <v>74682.400000000009</v>
      </c>
      <c r="O61" s="11">
        <f>+E61+H61+K61</f>
        <v>1</v>
      </c>
      <c r="P61" t="str">
        <f t="shared" si="10"/>
        <v xml:space="preserve"> </v>
      </c>
    </row>
    <row r="62" spans="1:16">
      <c r="A62">
        <v>4540</v>
      </c>
      <c r="B62" t="s">
        <v>47</v>
      </c>
      <c r="C62" s="6">
        <f>'Staff Pro Forma'!I61</f>
        <v>20447.916350000003</v>
      </c>
      <c r="E62" s="425">
        <f>+E26</f>
        <v>0.87465887247961149</v>
      </c>
      <c r="F62" s="6">
        <f t="shared" si="6"/>
        <v>17884.951459248416</v>
      </c>
      <c r="H62" s="11">
        <f>+H26</f>
        <v>8.6246265724825119E-2</v>
      </c>
      <c r="I62" s="6">
        <f t="shared" si="11"/>
        <v>1763.5564270410964</v>
      </c>
      <c r="K62" s="11">
        <f>+K26</f>
        <v>3.9094861795563422E-2</v>
      </c>
      <c r="L62" s="6">
        <f t="shared" si="7"/>
        <v>799.40846371049179</v>
      </c>
      <c r="N62" s="6">
        <f t="shared" si="8"/>
        <v>20447.916350000007</v>
      </c>
      <c r="O62" s="11">
        <f>+E62+H62+K62</f>
        <v>1</v>
      </c>
      <c r="P62" t="str">
        <f t="shared" si="10"/>
        <v xml:space="preserve"> </v>
      </c>
    </row>
    <row r="63" spans="1:16">
      <c r="A63">
        <v>4580</v>
      </c>
      <c r="B63" t="s">
        <v>48</v>
      </c>
      <c r="C63" s="6">
        <f>'Staff Pro Forma'!I62</f>
        <v>0</v>
      </c>
      <c r="E63" s="425">
        <f>+E26</f>
        <v>0.87465887247961149</v>
      </c>
      <c r="F63" s="6">
        <f t="shared" si="6"/>
        <v>0</v>
      </c>
      <c r="H63" s="11">
        <f>+H26</f>
        <v>8.6246265724825119E-2</v>
      </c>
      <c r="I63" s="6">
        <f t="shared" si="11"/>
        <v>0</v>
      </c>
      <c r="K63" s="11">
        <f>+K26</f>
        <v>3.9094861795563422E-2</v>
      </c>
      <c r="L63" s="6">
        <f t="shared" si="7"/>
        <v>0</v>
      </c>
      <c r="N63" s="6">
        <f t="shared" si="8"/>
        <v>0</v>
      </c>
      <c r="O63" s="11">
        <f>+E63+H63+K63</f>
        <v>1</v>
      </c>
      <c r="P63" t="str">
        <f t="shared" si="10"/>
        <v xml:space="preserve"> </v>
      </c>
    </row>
    <row r="64" spans="1:16">
      <c r="A64" t="s">
        <v>18</v>
      </c>
      <c r="C64" s="6">
        <f>'Staff Pro Forma'!I63</f>
        <v>0</v>
      </c>
      <c r="E64" s="11"/>
      <c r="F64" s="6"/>
      <c r="H64" s="11"/>
      <c r="I64" s="6"/>
      <c r="K64" s="11"/>
      <c r="L64" s="6"/>
      <c r="N64" s="6"/>
      <c r="O64" s="11"/>
    </row>
    <row r="65" spans="1:16">
      <c r="A65">
        <v>4611</v>
      </c>
      <c r="B65" t="s">
        <v>49</v>
      </c>
      <c r="C65" s="6">
        <f>'Staff Pro Forma'!I64</f>
        <v>76800</v>
      </c>
      <c r="E65" s="433">
        <f>'Overhead Allocation'!$O$20</f>
        <v>0.8608688392098135</v>
      </c>
      <c r="F65" s="6">
        <f t="shared" si="6"/>
        <v>66114.726851313681</v>
      </c>
      <c r="H65" s="433">
        <f>'Overhead Allocation'!P20</f>
        <v>9.7195395733785078E-2</v>
      </c>
      <c r="I65" s="6">
        <f t="shared" si="11"/>
        <v>7464.6063923546944</v>
      </c>
      <c r="K65" s="433">
        <f>'Overhead Allocation'!Q20</f>
        <v>4.1935765056401508E-2</v>
      </c>
      <c r="L65" s="6">
        <f t="shared" si="7"/>
        <v>3220.666756331636</v>
      </c>
      <c r="N65" s="6">
        <f t="shared" si="8"/>
        <v>76800</v>
      </c>
      <c r="O65" s="11">
        <f t="shared" ref="O65:O84" si="14">+E65+H65+K65</f>
        <v>1</v>
      </c>
      <c r="P65" t="str">
        <f t="shared" si="10"/>
        <v xml:space="preserve"> </v>
      </c>
    </row>
    <row r="66" spans="1:16">
      <c r="A66">
        <v>4612</v>
      </c>
      <c r="B66" t="s">
        <v>50</v>
      </c>
      <c r="C66" s="6">
        <f>'Staff Pro Forma'!I65</f>
        <v>52772.84</v>
      </c>
      <c r="E66" s="423">
        <v>1</v>
      </c>
      <c r="F66" s="6">
        <f t="shared" si="6"/>
        <v>52772.84</v>
      </c>
      <c r="H66" s="15">
        <v>0</v>
      </c>
      <c r="I66" s="6">
        <f t="shared" si="11"/>
        <v>0</v>
      </c>
      <c r="K66" s="15">
        <v>0</v>
      </c>
      <c r="L66" s="6">
        <f t="shared" si="7"/>
        <v>0</v>
      </c>
      <c r="N66" s="6">
        <f t="shared" si="8"/>
        <v>52772.84</v>
      </c>
      <c r="O66" s="11">
        <f t="shared" si="14"/>
        <v>1</v>
      </c>
      <c r="P66" t="str">
        <f t="shared" si="10"/>
        <v xml:space="preserve"> </v>
      </c>
    </row>
    <row r="67" spans="1:16">
      <c r="A67">
        <v>4613</v>
      </c>
      <c r="B67" t="s">
        <v>51</v>
      </c>
      <c r="C67" s="6">
        <f>'Staff Pro Forma'!I66</f>
        <v>130000</v>
      </c>
      <c r="E67" s="426">
        <f>+$E$65</f>
        <v>0.8608688392098135</v>
      </c>
      <c r="F67" s="6">
        <f t="shared" si="6"/>
        <v>111912.94909727575</v>
      </c>
      <c r="H67" s="426">
        <f>+$H$65</f>
        <v>9.7195395733785078E-2</v>
      </c>
      <c r="I67" s="6">
        <f t="shared" si="11"/>
        <v>12635.401445392061</v>
      </c>
      <c r="K67" s="426">
        <f>+$K$65</f>
        <v>4.1935765056401508E-2</v>
      </c>
      <c r="L67" s="6">
        <f t="shared" si="7"/>
        <v>5451.6494573321961</v>
      </c>
      <c r="N67" s="6">
        <f t="shared" si="8"/>
        <v>130000.00000000001</v>
      </c>
      <c r="O67" s="11">
        <f t="shared" si="14"/>
        <v>1</v>
      </c>
      <c r="P67" t="str">
        <f t="shared" si="10"/>
        <v xml:space="preserve"> </v>
      </c>
    </row>
    <row r="68" spans="1:16">
      <c r="A68">
        <v>4620</v>
      </c>
      <c r="B68" t="s">
        <v>52</v>
      </c>
      <c r="C68" s="6">
        <f>'Staff Pro Forma'!I67</f>
        <v>48500.990000000005</v>
      </c>
      <c r="E68" s="426">
        <f t="shared" ref="E68:E78" si="15">+$E$65</f>
        <v>0.8608688392098135</v>
      </c>
      <c r="F68" s="6">
        <f t="shared" si="6"/>
        <v>41752.990961826777</v>
      </c>
      <c r="H68" s="426">
        <f t="shared" ref="H68:H78" si="16">+$H$65</f>
        <v>9.7195395733785078E-2</v>
      </c>
      <c r="I68" s="6">
        <f t="shared" si="11"/>
        <v>4714.0729165303528</v>
      </c>
      <c r="K68" s="426">
        <f t="shared" ref="K68:K78" si="17">+$K$65</f>
        <v>4.1935765056401508E-2</v>
      </c>
      <c r="L68" s="6">
        <f t="shared" si="7"/>
        <v>2033.9261216428793</v>
      </c>
      <c r="N68" s="6">
        <f t="shared" si="8"/>
        <v>48500.990000000013</v>
      </c>
      <c r="O68" s="11">
        <f t="shared" si="14"/>
        <v>1</v>
      </c>
      <c r="P68" t="str">
        <f t="shared" si="10"/>
        <v xml:space="preserve"> </v>
      </c>
    </row>
    <row r="69" spans="1:16">
      <c r="A69">
        <v>4622</v>
      </c>
      <c r="B69" t="s">
        <v>53</v>
      </c>
      <c r="C69" s="6">
        <f>'Staff Pro Forma'!I68</f>
        <v>0</v>
      </c>
      <c r="E69" s="426">
        <f t="shared" si="15"/>
        <v>0.8608688392098135</v>
      </c>
      <c r="F69" s="6">
        <f t="shared" si="6"/>
        <v>0</v>
      </c>
      <c r="H69" s="426">
        <f t="shared" si="16"/>
        <v>9.7195395733785078E-2</v>
      </c>
      <c r="I69" s="6">
        <f t="shared" si="11"/>
        <v>0</v>
      </c>
      <c r="K69" s="426">
        <f t="shared" si="17"/>
        <v>4.1935765056401508E-2</v>
      </c>
      <c r="L69" s="6">
        <f t="shared" si="7"/>
        <v>0</v>
      </c>
      <c r="N69" s="6">
        <f t="shared" si="8"/>
        <v>0</v>
      </c>
      <c r="O69" s="11">
        <f t="shared" si="14"/>
        <v>1</v>
      </c>
      <c r="P69" t="str">
        <f t="shared" si="10"/>
        <v xml:space="preserve"> </v>
      </c>
    </row>
    <row r="70" spans="1:16">
      <c r="A70">
        <v>4624</v>
      </c>
      <c r="B70" t="s">
        <v>54</v>
      </c>
      <c r="C70" s="6">
        <f>'Staff Pro Forma'!I69</f>
        <v>929.5</v>
      </c>
      <c r="E70" s="426">
        <f t="shared" si="15"/>
        <v>0.8608688392098135</v>
      </c>
      <c r="F70" s="6">
        <f t="shared" si="6"/>
        <v>800.17758604552159</v>
      </c>
      <c r="H70" s="426">
        <f t="shared" si="16"/>
        <v>9.7195395733785078E-2</v>
      </c>
      <c r="I70" s="6">
        <f t="shared" si="11"/>
        <v>90.343120334553234</v>
      </c>
      <c r="K70" s="426">
        <f t="shared" si="17"/>
        <v>4.1935765056401508E-2</v>
      </c>
      <c r="L70" s="6">
        <f t="shared" si="7"/>
        <v>38.979293619925201</v>
      </c>
      <c r="N70" s="6">
        <f t="shared" si="8"/>
        <v>929.5</v>
      </c>
      <c r="O70" s="11">
        <f t="shared" si="14"/>
        <v>1</v>
      </c>
      <c r="P70" t="str">
        <f t="shared" si="10"/>
        <v xml:space="preserve"> </v>
      </c>
    </row>
    <row r="71" spans="1:16">
      <c r="A71">
        <v>4625</v>
      </c>
      <c r="B71" t="s">
        <v>55</v>
      </c>
      <c r="C71" s="6">
        <f>'Staff Pro Forma'!I70</f>
        <v>3070.6299999999997</v>
      </c>
      <c r="E71" s="426">
        <f t="shared" si="15"/>
        <v>0.8608688392098135</v>
      </c>
      <c r="F71" s="6">
        <f t="shared" si="6"/>
        <v>2643.4096837428292</v>
      </c>
      <c r="H71" s="426">
        <f t="shared" si="16"/>
        <v>9.7195395733785078E-2</v>
      </c>
      <c r="I71" s="6">
        <f t="shared" si="11"/>
        <v>298.45109800203244</v>
      </c>
      <c r="K71" s="426">
        <f t="shared" si="17"/>
        <v>4.1935765056401508E-2</v>
      </c>
      <c r="L71" s="6">
        <f t="shared" si="7"/>
        <v>128.76921825513816</v>
      </c>
      <c r="N71" s="6">
        <f t="shared" si="8"/>
        <v>3070.6299999999997</v>
      </c>
      <c r="O71" s="11">
        <f t="shared" si="14"/>
        <v>1</v>
      </c>
      <c r="P71" t="str">
        <f t="shared" si="10"/>
        <v xml:space="preserve"> </v>
      </c>
    </row>
    <row r="72" spans="1:16">
      <c r="A72">
        <v>4627</v>
      </c>
      <c r="B72" t="s">
        <v>56</v>
      </c>
      <c r="C72" s="6">
        <f>'Staff Pro Forma'!I71</f>
        <v>719.56</v>
      </c>
      <c r="E72" s="426">
        <f t="shared" si="15"/>
        <v>0.8608688392098135</v>
      </c>
      <c r="F72" s="6">
        <f t="shared" si="6"/>
        <v>619.44678194181336</v>
      </c>
      <c r="H72" s="426">
        <f t="shared" si="16"/>
        <v>9.7195395733785078E-2</v>
      </c>
      <c r="I72" s="6">
        <f t="shared" si="11"/>
        <v>69.937918954202388</v>
      </c>
      <c r="K72" s="426">
        <f t="shared" si="17"/>
        <v>4.1935765056401508E-2</v>
      </c>
      <c r="L72" s="6">
        <f t="shared" si="7"/>
        <v>30.175299103984266</v>
      </c>
      <c r="N72" s="6">
        <f t="shared" si="8"/>
        <v>719.56</v>
      </c>
      <c r="O72" s="11">
        <f t="shared" si="14"/>
        <v>1</v>
      </c>
      <c r="P72" t="str">
        <f t="shared" si="10"/>
        <v xml:space="preserve"> </v>
      </c>
    </row>
    <row r="73" spans="1:16">
      <c r="A73">
        <v>4628</v>
      </c>
      <c r="B73" t="s">
        <v>1312</v>
      </c>
      <c r="C73" s="6">
        <f>'Staff Pro Forma'!I72</f>
        <v>22633.739999999998</v>
      </c>
      <c r="E73" s="423">
        <v>1</v>
      </c>
      <c r="F73" s="6">
        <f t="shared" ref="F73" si="18">+C73*E73</f>
        <v>22633.739999999998</v>
      </c>
      <c r="H73" s="15">
        <v>0</v>
      </c>
      <c r="I73" s="6">
        <f t="shared" ref="I73" si="19">+C73*H73</f>
        <v>0</v>
      </c>
      <c r="K73" s="15">
        <v>0</v>
      </c>
      <c r="L73" s="6">
        <f t="shared" ref="L73" si="20">+C73*K73</f>
        <v>0</v>
      </c>
      <c r="N73" s="6">
        <f t="shared" ref="N73" si="21">+F73+I73+L73</f>
        <v>22633.739999999998</v>
      </c>
      <c r="O73" s="11">
        <f t="shared" ref="O73" si="22">+E73+H73+K73</f>
        <v>1</v>
      </c>
      <c r="P73" t="str">
        <f t="shared" ref="P73" si="23">IF(O73&lt;&gt;1,"ERR"," ")</f>
        <v xml:space="preserve"> </v>
      </c>
    </row>
    <row r="74" spans="1:16">
      <c r="A74">
        <v>4630</v>
      </c>
      <c r="B74" t="s">
        <v>57</v>
      </c>
      <c r="C74" s="6">
        <f>'Staff Pro Forma'!I73</f>
        <v>525</v>
      </c>
      <c r="E74" s="426">
        <f t="shared" si="15"/>
        <v>0.8608688392098135</v>
      </c>
      <c r="F74" s="6">
        <f t="shared" si="6"/>
        <v>451.95614058515207</v>
      </c>
      <c r="H74" s="426">
        <f t="shared" si="16"/>
        <v>9.7195395733785078E-2</v>
      </c>
      <c r="I74" s="6">
        <f t="shared" si="11"/>
        <v>51.027582760237166</v>
      </c>
      <c r="K74" s="426">
        <f t="shared" si="17"/>
        <v>4.1935765056401508E-2</v>
      </c>
      <c r="L74" s="6">
        <f t="shared" si="7"/>
        <v>22.016276654610792</v>
      </c>
      <c r="N74" s="6">
        <f t="shared" si="8"/>
        <v>525</v>
      </c>
      <c r="O74" s="11">
        <f t="shared" si="14"/>
        <v>1</v>
      </c>
      <c r="P74" t="str">
        <f t="shared" si="10"/>
        <v xml:space="preserve"> </v>
      </c>
    </row>
    <row r="75" spans="1:16">
      <c r="A75">
        <v>4640</v>
      </c>
      <c r="B75" t="s">
        <v>58</v>
      </c>
      <c r="C75" s="6">
        <f>'Staff Pro Forma'!I74</f>
        <v>15285.13</v>
      </c>
      <c r="E75" s="426">
        <f t="shared" si="15"/>
        <v>0.8608688392098135</v>
      </c>
      <c r="F75" s="6">
        <f t="shared" si="6"/>
        <v>13158.492120271096</v>
      </c>
      <c r="H75" s="426">
        <f t="shared" si="16"/>
        <v>9.7195395733785078E-2</v>
      </c>
      <c r="I75" s="6">
        <f t="shared" si="11"/>
        <v>1485.6442591923503</v>
      </c>
      <c r="K75" s="426">
        <f t="shared" si="17"/>
        <v>4.1935765056401508E-2</v>
      </c>
      <c r="L75" s="6">
        <f t="shared" si="7"/>
        <v>640.99362053655432</v>
      </c>
      <c r="N75" s="6">
        <f t="shared" si="8"/>
        <v>15285.13</v>
      </c>
      <c r="O75" s="11">
        <f t="shared" si="14"/>
        <v>1</v>
      </c>
      <c r="P75" t="str">
        <f t="shared" si="10"/>
        <v xml:space="preserve"> </v>
      </c>
    </row>
    <row r="76" spans="1:16">
      <c r="A76">
        <v>4642</v>
      </c>
      <c r="B76" t="s">
        <v>1400</v>
      </c>
      <c r="C76" s="6">
        <f>'Staff Pro Forma'!I75</f>
        <v>953.68</v>
      </c>
      <c r="E76" s="425">
        <f>+E48</f>
        <v>1</v>
      </c>
      <c r="F76" s="6">
        <f t="shared" ref="F76" si="24">+C76*E76</f>
        <v>953.68</v>
      </c>
      <c r="H76" s="426">
        <f>+K48</f>
        <v>0</v>
      </c>
      <c r="I76" s="6">
        <f t="shared" ref="I76" si="25">+C76*H76</f>
        <v>0</v>
      </c>
      <c r="K76" s="426">
        <f>+$K$48</f>
        <v>0</v>
      </c>
      <c r="L76" s="6">
        <f t="shared" ref="L76" si="26">+C76*K76</f>
        <v>0</v>
      </c>
      <c r="N76" s="6">
        <f t="shared" ref="N76" si="27">+F76+I76+L76</f>
        <v>953.68</v>
      </c>
      <c r="O76" s="11">
        <f t="shared" ref="O76" si="28">+E76+H76+K76</f>
        <v>1</v>
      </c>
      <c r="P76" t="str">
        <f t="shared" ref="P76" si="29">IF(O76&lt;&gt;1,"ERR"," ")</f>
        <v xml:space="preserve"> </v>
      </c>
    </row>
    <row r="77" spans="1:16">
      <c r="A77">
        <v>4650</v>
      </c>
      <c r="B77" t="s">
        <v>59</v>
      </c>
      <c r="C77" s="6">
        <f>'Staff Pro Forma'!I76</f>
        <v>104654.40000000001</v>
      </c>
      <c r="E77" s="426">
        <f t="shared" si="15"/>
        <v>0.8608688392098135</v>
      </c>
      <c r="F77" s="6">
        <f t="shared" si="6"/>
        <v>90093.711846199512</v>
      </c>
      <c r="H77" s="426">
        <f t="shared" si="16"/>
        <v>9.7195395733785078E-2</v>
      </c>
      <c r="I77" s="6">
        <f t="shared" si="11"/>
        <v>10171.925823281837</v>
      </c>
      <c r="K77" s="426">
        <f t="shared" si="17"/>
        <v>4.1935765056401508E-2</v>
      </c>
      <c r="L77" s="6">
        <f t="shared" si="7"/>
        <v>4388.7623305186662</v>
      </c>
      <c r="N77" s="6">
        <f t="shared" si="8"/>
        <v>104654.40000000002</v>
      </c>
      <c r="O77" s="11">
        <f t="shared" si="14"/>
        <v>1</v>
      </c>
      <c r="P77" t="str">
        <f t="shared" si="10"/>
        <v xml:space="preserve"> </v>
      </c>
    </row>
    <row r="78" spans="1:16">
      <c r="A78">
        <v>4652</v>
      </c>
      <c r="B78" t="s">
        <v>60</v>
      </c>
      <c r="C78" s="6">
        <f>'Staff Pro Forma'!I77</f>
        <v>10683.049999999997</v>
      </c>
      <c r="E78" s="426">
        <f t="shared" si="15"/>
        <v>0.8608688392098135</v>
      </c>
      <c r="F78" s="6">
        <f t="shared" si="6"/>
        <v>9196.7048527203951</v>
      </c>
      <c r="H78" s="426">
        <f t="shared" si="16"/>
        <v>9.7195395733785078E-2</v>
      </c>
      <c r="I78" s="6">
        <f t="shared" si="11"/>
        <v>1038.3432723938124</v>
      </c>
      <c r="K78" s="426">
        <f t="shared" si="17"/>
        <v>4.1935765056401508E-2</v>
      </c>
      <c r="L78" s="6">
        <f t="shared" si="7"/>
        <v>448.00187488579002</v>
      </c>
      <c r="N78" s="6">
        <f t="shared" si="8"/>
        <v>10683.049999999997</v>
      </c>
      <c r="O78" s="11">
        <f t="shared" si="14"/>
        <v>1</v>
      </c>
      <c r="P78" t="str">
        <f t="shared" si="10"/>
        <v xml:space="preserve"> </v>
      </c>
    </row>
    <row r="79" spans="1:16">
      <c r="A79">
        <v>4660</v>
      </c>
      <c r="B79" t="s">
        <v>61</v>
      </c>
      <c r="C79" s="6">
        <f>'Staff Pro Forma'!I78</f>
        <v>0</v>
      </c>
      <c r="E79" s="423">
        <v>1</v>
      </c>
      <c r="F79" s="6">
        <f t="shared" si="6"/>
        <v>0</v>
      </c>
      <c r="H79" s="15">
        <v>0</v>
      </c>
      <c r="I79" s="6">
        <f t="shared" si="11"/>
        <v>0</v>
      </c>
      <c r="K79" s="15">
        <v>0</v>
      </c>
      <c r="L79" s="6">
        <f t="shared" si="7"/>
        <v>0</v>
      </c>
      <c r="N79" s="6">
        <f t="shared" si="8"/>
        <v>0</v>
      </c>
      <c r="O79" s="11">
        <f t="shared" si="14"/>
        <v>1</v>
      </c>
      <c r="P79" t="str">
        <f t="shared" si="10"/>
        <v xml:space="preserve"> </v>
      </c>
    </row>
    <row r="80" spans="1:16">
      <c r="A80">
        <v>4670</v>
      </c>
      <c r="B80" t="s">
        <v>62</v>
      </c>
      <c r="C80" s="6">
        <f>'Staff Pro Forma'!I79</f>
        <v>0</v>
      </c>
      <c r="E80" s="423">
        <v>1</v>
      </c>
      <c r="F80" s="6">
        <f t="shared" si="6"/>
        <v>0</v>
      </c>
      <c r="H80" s="15">
        <v>0</v>
      </c>
      <c r="I80" s="6">
        <f t="shared" si="11"/>
        <v>0</v>
      </c>
      <c r="K80" s="15">
        <v>0</v>
      </c>
      <c r="L80" s="6">
        <f t="shared" si="7"/>
        <v>0</v>
      </c>
      <c r="N80" s="6">
        <f t="shared" si="8"/>
        <v>0</v>
      </c>
      <c r="O80" s="11">
        <f t="shared" si="14"/>
        <v>1</v>
      </c>
      <c r="P80" t="str">
        <f t="shared" si="10"/>
        <v xml:space="preserve"> </v>
      </c>
    </row>
    <row r="81" spans="1:16">
      <c r="A81">
        <v>4680</v>
      </c>
      <c r="B81" t="s">
        <v>63</v>
      </c>
      <c r="C81" s="6">
        <f>'Staff Pro Forma'!I80</f>
        <v>13958.2</v>
      </c>
      <c r="E81" s="423">
        <v>1</v>
      </c>
      <c r="F81" s="6">
        <f t="shared" si="6"/>
        <v>13958.2</v>
      </c>
      <c r="H81" s="15">
        <v>0</v>
      </c>
      <c r="I81" s="6">
        <f t="shared" si="11"/>
        <v>0</v>
      </c>
      <c r="K81" s="15">
        <v>0</v>
      </c>
      <c r="L81" s="6">
        <f t="shared" si="7"/>
        <v>0</v>
      </c>
      <c r="N81" s="6">
        <f t="shared" si="8"/>
        <v>13958.2</v>
      </c>
      <c r="O81" s="11">
        <f t="shared" si="14"/>
        <v>1</v>
      </c>
      <c r="P81" t="str">
        <f t="shared" si="10"/>
        <v xml:space="preserve"> </v>
      </c>
    </row>
    <row r="82" spans="1:16">
      <c r="A82">
        <v>4692</v>
      </c>
      <c r="B82" t="s">
        <v>64</v>
      </c>
      <c r="C82" s="6">
        <f>'Staff Pro Forma'!I81</f>
        <v>11603.52</v>
      </c>
      <c r="E82" s="426">
        <f>+$E$65</f>
        <v>0.8608688392098135</v>
      </c>
      <c r="F82" s="6">
        <f t="shared" si="6"/>
        <v>9989.108793147856</v>
      </c>
      <c r="H82" s="426">
        <f>+$H$65</f>
        <v>9.7195395733785078E-2</v>
      </c>
      <c r="I82" s="6">
        <f t="shared" si="11"/>
        <v>1127.8087183048899</v>
      </c>
      <c r="K82" s="426">
        <f>+$K$65</f>
        <v>4.1935765056401508E-2</v>
      </c>
      <c r="L82" s="6">
        <f t="shared" si="7"/>
        <v>486.60248854725603</v>
      </c>
      <c r="N82" s="6">
        <f t="shared" si="8"/>
        <v>11603.520000000002</v>
      </c>
      <c r="O82" s="11">
        <f t="shared" si="14"/>
        <v>1</v>
      </c>
      <c r="P82" t="str">
        <f t="shared" si="10"/>
        <v xml:space="preserve"> </v>
      </c>
    </row>
    <row r="83" spans="1:16">
      <c r="A83">
        <v>4694</v>
      </c>
      <c r="B83" t="s">
        <v>65</v>
      </c>
      <c r="C83" s="6">
        <f>'Staff Pro Forma'!I82</f>
        <v>0</v>
      </c>
      <c r="E83" s="426">
        <f>+$E$65</f>
        <v>0.8608688392098135</v>
      </c>
      <c r="F83" s="6">
        <f t="shared" si="6"/>
        <v>0</v>
      </c>
      <c r="H83" s="426">
        <f>+$H$65</f>
        <v>9.7195395733785078E-2</v>
      </c>
      <c r="I83" s="6">
        <f t="shared" si="11"/>
        <v>0</v>
      </c>
      <c r="K83" s="426">
        <f>+$K$65</f>
        <v>4.1935765056401508E-2</v>
      </c>
      <c r="L83" s="6">
        <f t="shared" si="7"/>
        <v>0</v>
      </c>
      <c r="N83" s="6">
        <f t="shared" si="8"/>
        <v>0</v>
      </c>
      <c r="O83" s="11">
        <f t="shared" si="14"/>
        <v>1</v>
      </c>
      <c r="P83" t="str">
        <f t="shared" si="10"/>
        <v xml:space="preserve"> </v>
      </c>
    </row>
    <row r="84" spans="1:16">
      <c r="A84">
        <v>4698</v>
      </c>
      <c r="B84" t="s">
        <v>66</v>
      </c>
      <c r="C84" s="6">
        <f>'Staff Pro Forma'!I83</f>
        <v>849.97</v>
      </c>
      <c r="E84" s="426">
        <f>+$E$65</f>
        <v>0.8608688392098135</v>
      </c>
      <c r="F84" s="6">
        <f t="shared" si="6"/>
        <v>731.71268726316521</v>
      </c>
      <c r="H84" s="426">
        <f>+$H$65</f>
        <v>9.7195395733785078E-2</v>
      </c>
      <c r="I84" s="6">
        <f t="shared" si="11"/>
        <v>82.613170511845311</v>
      </c>
      <c r="K84" s="426">
        <f>+$K$65</f>
        <v>4.1935765056401508E-2</v>
      </c>
      <c r="L84" s="6">
        <f t="shared" si="7"/>
        <v>35.644142224989594</v>
      </c>
      <c r="N84" s="6">
        <f t="shared" si="8"/>
        <v>849.97</v>
      </c>
      <c r="O84" s="11">
        <f t="shared" si="14"/>
        <v>1</v>
      </c>
      <c r="P84" t="str">
        <f t="shared" si="10"/>
        <v xml:space="preserve"> </v>
      </c>
    </row>
    <row r="85" spans="1:16">
      <c r="A85" t="s">
        <v>19</v>
      </c>
      <c r="C85" s="6">
        <f>'Staff Pro Forma'!I84</f>
        <v>0</v>
      </c>
      <c r="E85" s="11"/>
      <c r="F85" s="6"/>
      <c r="H85" s="11"/>
      <c r="I85" s="6"/>
      <c r="K85" s="11"/>
      <c r="L85" s="6"/>
      <c r="N85" s="6"/>
      <c r="O85" s="11"/>
    </row>
    <row r="86" spans="1:16">
      <c r="A86">
        <v>5010</v>
      </c>
      <c r="B86" t="s">
        <v>67</v>
      </c>
      <c r="C86" s="6">
        <f>'Staff Pro Forma'!I85</f>
        <v>268839</v>
      </c>
      <c r="E86" s="422">
        <f>+'Depr Allocation'!N12</f>
        <v>0.88012949037891774</v>
      </c>
      <c r="F86" s="6">
        <f t="shared" si="6"/>
        <v>236613.13206397786</v>
      </c>
      <c r="H86" s="27">
        <f>+'Depr Allocation'!N14</f>
        <v>8.2982740874644842E-2</v>
      </c>
      <c r="I86" s="6">
        <f t="shared" si="11"/>
        <v>22308.997073998646</v>
      </c>
      <c r="K86" s="27">
        <f>+'Depr Allocation'!N16</f>
        <v>3.6887768746437191E-2</v>
      </c>
      <c r="L86" s="6">
        <f t="shared" si="7"/>
        <v>9916.8708620234283</v>
      </c>
      <c r="N86" s="6">
        <f t="shared" si="8"/>
        <v>268838.99999999994</v>
      </c>
      <c r="O86" s="11">
        <f>+E86+H86+K86</f>
        <v>0.99999999999999978</v>
      </c>
      <c r="P86" t="str">
        <f t="shared" si="10"/>
        <v xml:space="preserve"> </v>
      </c>
    </row>
    <row r="87" spans="1:16">
      <c r="A87">
        <v>5100</v>
      </c>
      <c r="B87" t="s">
        <v>68</v>
      </c>
      <c r="C87" s="6">
        <f>'Staff Pro Forma'!I86</f>
        <v>-7884.25</v>
      </c>
      <c r="E87" s="425">
        <f>+E86</f>
        <v>0.88012949037891774</v>
      </c>
      <c r="F87" s="6">
        <f t="shared" si="6"/>
        <v>-6939.1609345199822</v>
      </c>
      <c r="H87" s="11">
        <f>+H86</f>
        <v>8.2982740874644842E-2</v>
      </c>
      <c r="I87" s="6">
        <f t="shared" si="11"/>
        <v>-654.25667474091858</v>
      </c>
      <c r="K87" s="11">
        <f>+K86</f>
        <v>3.6887768746437191E-2</v>
      </c>
      <c r="L87" s="6">
        <f t="shared" si="7"/>
        <v>-290.83239073909743</v>
      </c>
      <c r="N87" s="6">
        <f t="shared" si="8"/>
        <v>-7884.2499999999982</v>
      </c>
      <c r="O87" s="11">
        <f>+E87+H87+K87</f>
        <v>0.99999999999999978</v>
      </c>
      <c r="P87" t="str">
        <f t="shared" si="10"/>
        <v xml:space="preserve"> </v>
      </c>
    </row>
    <row r="88" spans="1:16">
      <c r="A88" t="s">
        <v>20</v>
      </c>
      <c r="C88" s="6">
        <f>'Staff Pro Forma'!I87</f>
        <v>0</v>
      </c>
      <c r="E88" s="11"/>
      <c r="F88" s="6"/>
      <c r="H88" s="11"/>
      <c r="I88" s="6"/>
      <c r="K88" s="11"/>
      <c r="L88" s="6"/>
      <c r="N88" s="6"/>
      <c r="O88" s="11"/>
    </row>
    <row r="89" spans="1:16">
      <c r="A89">
        <v>5151</v>
      </c>
      <c r="B89" t="s">
        <v>69</v>
      </c>
      <c r="C89" s="6">
        <f>'Staff Pro Forma'!I88</f>
        <v>0</v>
      </c>
      <c r="E89" s="423">
        <v>1</v>
      </c>
      <c r="F89" s="6">
        <f t="shared" si="6"/>
        <v>0</v>
      </c>
      <c r="H89" s="15">
        <v>0</v>
      </c>
      <c r="I89" s="6">
        <f t="shared" si="11"/>
        <v>0</v>
      </c>
      <c r="K89" s="15">
        <v>0</v>
      </c>
      <c r="L89" s="6">
        <f t="shared" si="7"/>
        <v>0</v>
      </c>
      <c r="N89" s="6">
        <f t="shared" si="8"/>
        <v>0</v>
      </c>
      <c r="O89" s="11">
        <f>+E89+H89+K89</f>
        <v>1</v>
      </c>
      <c r="P89" t="str">
        <f t="shared" si="10"/>
        <v xml:space="preserve"> </v>
      </c>
    </row>
    <row r="90" spans="1:16">
      <c r="A90" t="s">
        <v>21</v>
      </c>
      <c r="C90" s="6">
        <f>'Staff Pro Forma'!I89</f>
        <v>0</v>
      </c>
      <c r="E90" s="11"/>
      <c r="F90" s="6"/>
      <c r="H90" s="11"/>
      <c r="I90" s="6"/>
      <c r="K90" s="11"/>
      <c r="L90" s="6"/>
      <c r="N90" s="6"/>
      <c r="O90" s="11"/>
    </row>
    <row r="91" spans="1:16">
      <c r="A91">
        <v>5220</v>
      </c>
      <c r="B91" t="s">
        <v>70</v>
      </c>
      <c r="C91" s="6">
        <f>'Staff Pro Forma'!I90</f>
        <v>5676.75</v>
      </c>
      <c r="E91" s="425">
        <f>+E26</f>
        <v>0.87465887247961149</v>
      </c>
      <c r="F91" s="6">
        <f t="shared" si="6"/>
        <v>4965.2197543486345</v>
      </c>
      <c r="H91" s="11">
        <f>+H26</f>
        <v>8.6246265724825119E-2</v>
      </c>
      <c r="I91" s="6">
        <f t="shared" si="11"/>
        <v>489.59848895340099</v>
      </c>
      <c r="K91" s="11">
        <f>+K26</f>
        <v>3.9094861795563422E-2</v>
      </c>
      <c r="L91" s="6">
        <f t="shared" si="7"/>
        <v>221.93175669796466</v>
      </c>
      <c r="N91" s="6">
        <f t="shared" si="8"/>
        <v>5676.75</v>
      </c>
      <c r="O91" s="11">
        <f t="shared" ref="O91:O98" si="30">+E91+H91+K91</f>
        <v>1</v>
      </c>
      <c r="P91" t="str">
        <f t="shared" si="10"/>
        <v xml:space="preserve"> </v>
      </c>
    </row>
    <row r="92" spans="1:16">
      <c r="A92">
        <v>5230</v>
      </c>
      <c r="B92" t="s">
        <v>71</v>
      </c>
      <c r="C92" s="6">
        <f>'Staff Pro Forma'!I91</f>
        <v>2394.9899999999998</v>
      </c>
      <c r="E92" s="425">
        <f>'Container Count'!K27</f>
        <v>0.91603053435114501</v>
      </c>
      <c r="F92" s="6">
        <f t="shared" si="6"/>
        <v>2193.8839694656485</v>
      </c>
      <c r="H92" s="444">
        <f>'Container Count'!K23</f>
        <v>5.6827820186598814E-2</v>
      </c>
      <c r="I92" s="6">
        <f t="shared" si="11"/>
        <v>136.10206106870228</v>
      </c>
      <c r="K92" s="444">
        <f>'Container Count'!K25</f>
        <v>2.7141645462256149E-2</v>
      </c>
      <c r="L92" s="6">
        <f t="shared" si="7"/>
        <v>65.003969465648851</v>
      </c>
      <c r="N92" s="6">
        <f t="shared" si="8"/>
        <v>2394.9899999999998</v>
      </c>
      <c r="O92" s="11">
        <f t="shared" si="30"/>
        <v>1</v>
      </c>
      <c r="P92" t="str">
        <f t="shared" si="10"/>
        <v xml:space="preserve"> </v>
      </c>
    </row>
    <row r="93" spans="1:16">
      <c r="A93">
        <v>5240</v>
      </c>
      <c r="B93" t="s">
        <v>72</v>
      </c>
      <c r="C93" s="6">
        <f>'Staff Pro Forma'!I92</f>
        <v>55882.060000000005</v>
      </c>
      <c r="E93" s="425">
        <f>+E26</f>
        <v>0.87465887247961149</v>
      </c>
      <c r="F93" s="6">
        <f t="shared" si="6"/>
        <v>48877.739591438003</v>
      </c>
      <c r="H93" s="11">
        <f>+H26</f>
        <v>8.6246265724825119E-2</v>
      </c>
      <c r="I93" s="6">
        <f t="shared" si="11"/>
        <v>4819.6189960106212</v>
      </c>
      <c r="K93" s="11">
        <f>+K26</f>
        <v>3.9094861795563422E-2</v>
      </c>
      <c r="L93" s="6">
        <f t="shared" si="7"/>
        <v>2184.7014125513829</v>
      </c>
      <c r="N93" s="6">
        <f t="shared" si="8"/>
        <v>55882.060000000005</v>
      </c>
      <c r="O93" s="11">
        <f t="shared" si="30"/>
        <v>1</v>
      </c>
      <c r="P93" t="str">
        <f t="shared" si="10"/>
        <v xml:space="preserve"> </v>
      </c>
    </row>
    <row r="94" spans="1:16">
      <c r="A94">
        <v>5241</v>
      </c>
      <c r="B94" t="s">
        <v>73</v>
      </c>
      <c r="C94" s="6">
        <f>'Staff Pro Forma'!I93</f>
        <v>678.04000000000008</v>
      </c>
      <c r="E94" s="425">
        <f>+E26</f>
        <v>0.87465887247961149</v>
      </c>
      <c r="F94" s="6">
        <f t="shared" si="6"/>
        <v>593.05370189607584</v>
      </c>
      <c r="H94" s="11">
        <f>+H26</f>
        <v>8.6246265724825119E-2</v>
      </c>
      <c r="I94" s="6">
        <f t="shared" si="11"/>
        <v>58.47841801206043</v>
      </c>
      <c r="K94" s="11">
        <f>+K26</f>
        <v>3.9094861795563422E-2</v>
      </c>
      <c r="L94" s="6">
        <f t="shared" si="7"/>
        <v>26.507880091863825</v>
      </c>
      <c r="N94" s="6">
        <f t="shared" si="8"/>
        <v>678.04000000000008</v>
      </c>
      <c r="O94" s="11">
        <f t="shared" si="30"/>
        <v>1</v>
      </c>
      <c r="P94" t="str">
        <f t="shared" si="10"/>
        <v xml:space="preserve"> </v>
      </c>
    </row>
    <row r="95" spans="1:16">
      <c r="A95">
        <v>5242</v>
      </c>
      <c r="B95" t="s">
        <v>74</v>
      </c>
      <c r="C95" s="6">
        <f>'Staff Pro Forma'!I94</f>
        <v>5822.1949999999997</v>
      </c>
      <c r="E95" s="425">
        <f>+E26</f>
        <v>0.87465887247961149</v>
      </c>
      <c r="F95" s="6">
        <f t="shared" si="6"/>
        <v>5092.434514056431</v>
      </c>
      <c r="H95" s="11">
        <f>+H26</f>
        <v>8.6246265724825119E-2</v>
      </c>
      <c r="I95" s="6">
        <f t="shared" si="11"/>
        <v>502.14257707174818</v>
      </c>
      <c r="K95" s="11">
        <f>+K26</f>
        <v>3.9094861795563422E-2</v>
      </c>
      <c r="L95" s="6">
        <f t="shared" si="7"/>
        <v>227.61790887182036</v>
      </c>
      <c r="N95" s="6">
        <f t="shared" si="8"/>
        <v>5822.1949999999988</v>
      </c>
      <c r="O95" s="11">
        <f t="shared" si="30"/>
        <v>1</v>
      </c>
      <c r="P95" t="str">
        <f t="shared" si="10"/>
        <v xml:space="preserve"> </v>
      </c>
    </row>
    <row r="96" spans="1:16">
      <c r="A96">
        <v>5260</v>
      </c>
      <c r="B96" t="s">
        <v>75</v>
      </c>
      <c r="C96" s="6">
        <f>'Staff Pro Forma'!I95</f>
        <v>55859.499178875005</v>
      </c>
      <c r="E96" s="425">
        <f>+E22</f>
        <v>0.87187289015061276</v>
      </c>
      <c r="F96" s="6">
        <f t="shared" si="6"/>
        <v>48702.38299145153</v>
      </c>
      <c r="H96" s="11">
        <f>+H22</f>
        <v>8.9956185718565354E-2</v>
      </c>
      <c r="I96" s="6">
        <f t="shared" si="11"/>
        <v>5024.9074822809289</v>
      </c>
      <c r="K96" s="11">
        <f>+K22</f>
        <v>3.8170924130822008E-2</v>
      </c>
      <c r="L96" s="6">
        <f t="shared" si="7"/>
        <v>2132.2087051425519</v>
      </c>
      <c r="N96" s="6">
        <f t="shared" si="8"/>
        <v>55859.499178875012</v>
      </c>
      <c r="O96" s="11">
        <f t="shared" si="30"/>
        <v>1</v>
      </c>
      <c r="P96" t="str">
        <f t="shared" si="10"/>
        <v xml:space="preserve"> </v>
      </c>
    </row>
    <row r="97" spans="1:16">
      <c r="A97">
        <v>5270</v>
      </c>
      <c r="B97" t="s">
        <v>76</v>
      </c>
      <c r="C97" s="6">
        <f>'Staff Pro Forma'!I96</f>
        <v>7990.68</v>
      </c>
      <c r="E97" s="423">
        <v>1</v>
      </c>
      <c r="F97" s="6">
        <f t="shared" si="6"/>
        <v>7990.68</v>
      </c>
      <c r="H97" s="15">
        <v>0</v>
      </c>
      <c r="I97" s="6">
        <f t="shared" si="11"/>
        <v>0</v>
      </c>
      <c r="K97" s="15">
        <v>0</v>
      </c>
      <c r="L97" s="6">
        <f t="shared" si="7"/>
        <v>0</v>
      </c>
      <c r="N97" s="6">
        <f t="shared" si="8"/>
        <v>7990.68</v>
      </c>
      <c r="O97" s="11">
        <f t="shared" si="30"/>
        <v>1</v>
      </c>
      <c r="P97" t="str">
        <f t="shared" si="10"/>
        <v xml:space="preserve"> </v>
      </c>
    </row>
    <row r="98" spans="1:16">
      <c r="A98">
        <v>5290</v>
      </c>
      <c r="B98" t="s">
        <v>77</v>
      </c>
      <c r="C98" s="6">
        <f>'Staff Pro Forma'!I97</f>
        <v>233.63</v>
      </c>
      <c r="E98" s="425">
        <f>+E26</f>
        <v>0.87465887247961149</v>
      </c>
      <c r="F98" s="6">
        <f t="shared" si="6"/>
        <v>204.34655237741163</v>
      </c>
      <c r="H98" s="11">
        <f>+H26</f>
        <v>8.6246265724825119E-2</v>
      </c>
      <c r="I98" s="6">
        <f t="shared" si="11"/>
        <v>20.149715061290891</v>
      </c>
      <c r="K98" s="11">
        <f>+K26</f>
        <v>3.9094861795563422E-2</v>
      </c>
      <c r="L98" s="6">
        <f t="shared" si="7"/>
        <v>9.1337325612974816</v>
      </c>
      <c r="N98" s="6">
        <f t="shared" si="8"/>
        <v>233.63</v>
      </c>
      <c r="O98" s="11">
        <f t="shared" si="30"/>
        <v>1</v>
      </c>
      <c r="P98" t="str">
        <f t="shared" si="10"/>
        <v xml:space="preserve"> </v>
      </c>
    </row>
    <row r="99" spans="1:16">
      <c r="A99" t="s">
        <v>22</v>
      </c>
      <c r="C99" s="6">
        <f>'Staff Pro Forma'!I98</f>
        <v>0</v>
      </c>
      <c r="E99" s="11"/>
      <c r="F99" s="6"/>
      <c r="H99" s="11"/>
      <c r="I99" s="6"/>
      <c r="K99" s="11"/>
      <c r="L99" s="6"/>
      <c r="N99" s="6"/>
      <c r="O99" s="11"/>
    </row>
    <row r="100" spans="1:16">
      <c r="A100">
        <v>5320</v>
      </c>
      <c r="B100" t="s">
        <v>78</v>
      </c>
      <c r="C100" s="6">
        <f>'Staff Pro Forma'!I99</f>
        <v>92952</v>
      </c>
      <c r="E100" s="426">
        <f>E65</f>
        <v>0.8608688392098135</v>
      </c>
      <c r="F100" s="6">
        <f t="shared" si="6"/>
        <v>80019.480342230585</v>
      </c>
      <c r="H100" s="426">
        <f>H65</f>
        <v>9.7195395733785078E-2</v>
      </c>
      <c r="I100" s="6">
        <f t="shared" si="11"/>
        <v>9034.5064242467906</v>
      </c>
      <c r="K100" s="426">
        <f>K65</f>
        <v>4.1935765056401508E-2</v>
      </c>
      <c r="L100" s="6">
        <f t="shared" si="7"/>
        <v>3898.0132335226331</v>
      </c>
      <c r="N100" s="6">
        <f>+F100+I100+L100</f>
        <v>92952.000000000015</v>
      </c>
      <c r="O100" s="11">
        <f>+E100+H100+K100</f>
        <v>1</v>
      </c>
    </row>
    <row r="101" spans="1:16" ht="13.5" thickBot="1">
      <c r="A101">
        <v>5322</v>
      </c>
      <c r="B101" s="83" t="s">
        <v>370</v>
      </c>
      <c r="C101" s="7">
        <f>'Staff Pro Forma'!I100</f>
        <v>29852</v>
      </c>
      <c r="D101" s="5"/>
      <c r="E101" s="427">
        <v>1</v>
      </c>
      <c r="F101" s="7">
        <f t="shared" si="6"/>
        <v>29852</v>
      </c>
      <c r="G101" s="5"/>
      <c r="H101" s="104">
        <v>0</v>
      </c>
      <c r="I101" s="7">
        <f t="shared" si="11"/>
        <v>0</v>
      </c>
      <c r="J101" s="5"/>
      <c r="K101" s="104">
        <v>0</v>
      </c>
      <c r="L101" s="7">
        <f t="shared" si="7"/>
        <v>0</v>
      </c>
      <c r="M101" s="5"/>
      <c r="N101" s="7">
        <f t="shared" si="8"/>
        <v>29852</v>
      </c>
      <c r="O101" s="12">
        <f>+E101+H101+K101</f>
        <v>1</v>
      </c>
      <c r="P101" t="str">
        <f t="shared" si="10"/>
        <v xml:space="preserve"> </v>
      </c>
    </row>
    <row r="102" spans="1:16">
      <c r="C102" s="6"/>
      <c r="E102" s="11"/>
      <c r="H102" s="11"/>
      <c r="K102" s="11"/>
      <c r="O102" s="11"/>
    </row>
    <row r="103" spans="1:16" ht="13.5" thickBot="1">
      <c r="B103" t="s">
        <v>23</v>
      </c>
      <c r="C103" s="7">
        <f>SUM(C26:C101)</f>
        <v>2986714.1825288762</v>
      </c>
      <c r="D103" s="5"/>
      <c r="E103" s="12">
        <f>+F103/C103</f>
        <v>0.88376434088786615</v>
      </c>
      <c r="F103" s="7">
        <f>SUM(F26:F101)</f>
        <v>2639551.4909430742</v>
      </c>
      <c r="G103" s="5"/>
      <c r="H103" s="12">
        <f>+I103/C103</f>
        <v>8.1688083324133812E-2</v>
      </c>
      <c r="I103" s="7">
        <f>SUM(I26:I101)</f>
        <v>243978.95700779103</v>
      </c>
      <c r="J103" s="5"/>
      <c r="K103" s="12">
        <f>+L103/C103</f>
        <v>3.4547575787999781E-2</v>
      </c>
      <c r="L103" s="7">
        <f>SUM(L26:L101)</f>
        <v>103183.73457801016</v>
      </c>
      <c r="M103" s="5"/>
      <c r="N103" s="7">
        <f>SUM(N26:N101)</f>
        <v>2986714.1825288762</v>
      </c>
      <c r="O103" s="12">
        <f>+E103+H103+K103</f>
        <v>0.99999999999999978</v>
      </c>
    </row>
    <row r="104" spans="1:16">
      <c r="C104" s="6"/>
      <c r="E104" s="11"/>
      <c r="F104" s="6"/>
      <c r="H104" s="11"/>
      <c r="I104" s="6"/>
      <c r="K104" s="11"/>
      <c r="L104" s="6"/>
      <c r="N104" s="6"/>
      <c r="O104" s="11"/>
    </row>
    <row r="105" spans="1:16" ht="13.5" thickBot="1">
      <c r="B105" t="s">
        <v>24</v>
      </c>
      <c r="C105" s="8">
        <f>+C22-C103</f>
        <v>170708.10012112372</v>
      </c>
      <c r="D105" s="13"/>
      <c r="E105" s="14">
        <f>+F105/C105</f>
        <v>0.66381970144663172</v>
      </c>
      <c r="F105" s="8">
        <f>+F22-F103</f>
        <v>113319.40005692607</v>
      </c>
      <c r="G105" s="13"/>
      <c r="H105" s="14">
        <f>+I105/C105</f>
        <v>0.23461516011127456</v>
      </c>
      <c r="I105" s="8">
        <f>+I22-I103</f>
        <v>40050.70824220893</v>
      </c>
      <c r="J105" s="13"/>
      <c r="K105" s="14">
        <f>+L105/C105</f>
        <v>0.10156513844210024</v>
      </c>
      <c r="L105" s="8">
        <f>+L22-L103</f>
        <v>17337.991821989839</v>
      </c>
      <c r="M105" s="13"/>
      <c r="N105" s="8">
        <f>+N22-N103</f>
        <v>170708.10012112372</v>
      </c>
      <c r="O105" s="14">
        <f>+E105+H105+K105</f>
        <v>1.0000000000000067</v>
      </c>
    </row>
    <row r="106" spans="1:16" ht="13.5" thickTop="1">
      <c r="C106" s="6"/>
      <c r="E106" s="11"/>
      <c r="F106" s="6"/>
      <c r="H106" s="11"/>
      <c r="I106" s="6"/>
      <c r="K106" s="11"/>
      <c r="L106" s="6"/>
      <c r="N106" s="6"/>
      <c r="O106" s="11"/>
    </row>
    <row r="107" spans="1:16">
      <c r="B107" t="s">
        <v>102</v>
      </c>
      <c r="C107" s="10">
        <f>+C103/C22</f>
        <v>0.94593434617245753</v>
      </c>
      <c r="E107" s="11"/>
      <c r="F107" s="10">
        <f>+F103/F22</f>
        <v>0.95883591910270738</v>
      </c>
      <c r="H107" s="11"/>
      <c r="I107" s="10">
        <f>+I103/I22</f>
        <v>0.85899110852749583</v>
      </c>
      <c r="K107" s="11"/>
      <c r="L107" s="10">
        <f>+L103/L22</f>
        <v>0.85614218830182776</v>
      </c>
      <c r="N107" s="10">
        <f>+N103/N22</f>
        <v>0.94593434617245753</v>
      </c>
      <c r="O107" s="11"/>
    </row>
  </sheetData>
  <mergeCells count="6">
    <mergeCell ref="K7:L7"/>
    <mergeCell ref="K8:L8"/>
    <mergeCell ref="E7:F7"/>
    <mergeCell ref="E8:F8"/>
    <mergeCell ref="H7:I7"/>
    <mergeCell ref="H8:I8"/>
  </mergeCells>
  <phoneticPr fontId="0" type="noConversion"/>
  <pageMargins left="0.25" right="0.25" top="0.28000000000000003" bottom="0.5" header="0.3" footer="0.5"/>
  <pageSetup scale="10" fitToHeight="2" orientation="landscape" horizontalDpi="300" verticalDpi="30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18"/>
  <sheetViews>
    <sheetView topLeftCell="A82" workbookViewId="0">
      <selection activeCell="D56" sqref="D56"/>
    </sheetView>
  </sheetViews>
  <sheetFormatPr defaultRowHeight="12.75"/>
  <cols>
    <col min="1" max="1" width="6.28515625" customWidth="1"/>
    <col min="2" max="2" width="30.5703125" customWidth="1"/>
    <col min="3" max="3" width="9.140625" customWidth="1"/>
    <col min="4" max="4" width="15.28515625" customWidth="1"/>
    <col min="7" max="7" width="13" customWidth="1"/>
    <col min="10" max="10" width="11.85546875" customWidth="1"/>
    <col min="13" max="13" width="11.28515625" customWidth="1"/>
    <col min="15" max="15" width="13.42578125" customWidth="1"/>
    <col min="18" max="18" width="11.28515625" bestFit="1" customWidth="1"/>
  </cols>
  <sheetData>
    <row r="1" spans="1:17">
      <c r="A1" t="s">
        <v>0</v>
      </c>
    </row>
    <row r="3" spans="1:17">
      <c r="A3" s="83" t="s">
        <v>366</v>
      </c>
      <c r="D3" s="643" t="s">
        <v>1342</v>
      </c>
      <c r="E3" s="643" t="s">
        <v>689</v>
      </c>
    </row>
    <row r="5" spans="1:17">
      <c r="A5" s="643" t="s">
        <v>1435</v>
      </c>
    </row>
    <row r="6" spans="1:17">
      <c r="A6" s="83"/>
      <c r="I6" s="787" t="s">
        <v>337</v>
      </c>
      <c r="J6" s="786"/>
      <c r="L6" s="787" t="s">
        <v>347</v>
      </c>
      <c r="M6" s="786"/>
    </row>
    <row r="7" spans="1:17">
      <c r="A7" s="1"/>
      <c r="C7" s="787" t="s">
        <v>345</v>
      </c>
      <c r="D7" s="786"/>
      <c r="F7" s="786" t="s">
        <v>104</v>
      </c>
      <c r="G7" s="786"/>
      <c r="I7" s="787" t="s">
        <v>338</v>
      </c>
      <c r="J7" s="786"/>
      <c r="L7" s="787" t="s">
        <v>338</v>
      </c>
      <c r="M7" s="786"/>
    </row>
    <row r="8" spans="1:17">
      <c r="C8" s="787" t="s">
        <v>346</v>
      </c>
      <c r="D8" s="786"/>
      <c r="F8" s="786" t="s">
        <v>105</v>
      </c>
      <c r="G8" s="786"/>
      <c r="I8" s="786" t="s">
        <v>105</v>
      </c>
      <c r="J8" s="786"/>
      <c r="L8" s="786" t="s">
        <v>105</v>
      </c>
      <c r="M8" s="786"/>
      <c r="O8" s="2" t="s">
        <v>2</v>
      </c>
      <c r="P8" s="2" t="s">
        <v>2</v>
      </c>
    </row>
    <row r="9" spans="1:17" ht="13.5" thickBot="1">
      <c r="C9" s="3"/>
      <c r="D9" s="3" t="s">
        <v>107</v>
      </c>
      <c r="E9" s="3"/>
      <c r="F9" s="3" t="s">
        <v>106</v>
      </c>
      <c r="G9" s="3" t="s">
        <v>107</v>
      </c>
      <c r="H9" s="3"/>
      <c r="I9" s="3" t="s">
        <v>106</v>
      </c>
      <c r="J9" s="3" t="s">
        <v>107</v>
      </c>
      <c r="K9" s="3"/>
      <c r="L9" s="3" t="s">
        <v>106</v>
      </c>
      <c r="M9" s="3" t="s">
        <v>107</v>
      </c>
      <c r="N9" s="3"/>
      <c r="O9" s="3" t="s">
        <v>107</v>
      </c>
      <c r="P9" s="3" t="s">
        <v>106</v>
      </c>
    </row>
    <row r="10" spans="1:17" ht="13.5" thickTop="1"/>
    <row r="11" spans="1:17">
      <c r="A11" t="s">
        <v>3</v>
      </c>
    </row>
    <row r="12" spans="1:17">
      <c r="A12">
        <v>3100</v>
      </c>
      <c r="B12" t="s">
        <v>5</v>
      </c>
      <c r="C12" s="15"/>
      <c r="D12" s="6">
        <f>'Cost Allocations-Contracts'!F12</f>
        <v>2021399.1700000002</v>
      </c>
      <c r="F12" s="15">
        <v>1</v>
      </c>
      <c r="G12" s="6">
        <f t="shared" ref="G12:G20" si="0">+D12*F12</f>
        <v>2021399.1700000002</v>
      </c>
      <c r="I12" s="11"/>
      <c r="J12" s="6">
        <f t="shared" ref="J12:J20" si="1">+D12*I12</f>
        <v>0</v>
      </c>
      <c r="L12" s="11"/>
      <c r="M12" s="6">
        <f t="shared" ref="M12:M20" si="2">+D12*L12</f>
        <v>0</v>
      </c>
      <c r="N12" s="6"/>
      <c r="O12" s="6">
        <f>+G12+J12+M12</f>
        <v>2021399.1700000002</v>
      </c>
      <c r="P12" s="11">
        <f>+F12+I12+L12</f>
        <v>1</v>
      </c>
      <c r="Q12" t="str">
        <f t="shared" ref="Q12:Q20" si="3">IF(P12&lt;&gt;1,"ERR"," ")</f>
        <v xml:space="preserve"> </v>
      </c>
    </row>
    <row r="13" spans="1:17">
      <c r="A13">
        <v>3112</v>
      </c>
      <c r="B13" t="s">
        <v>6</v>
      </c>
      <c r="C13" s="15"/>
      <c r="D13" s="6">
        <f>'Cost Allocations-Contracts'!F13</f>
        <v>0</v>
      </c>
      <c r="F13" s="15"/>
      <c r="G13" s="6">
        <f t="shared" si="0"/>
        <v>0</v>
      </c>
      <c r="I13" s="15"/>
      <c r="J13" s="6">
        <f t="shared" si="1"/>
        <v>0</v>
      </c>
      <c r="L13" s="11"/>
      <c r="M13" s="6">
        <f t="shared" si="2"/>
        <v>0</v>
      </c>
      <c r="N13" s="6"/>
      <c r="O13" s="6">
        <f t="shared" ref="O13:O20" si="4">+G13+J13+M13</f>
        <v>0</v>
      </c>
      <c r="P13" s="11">
        <f t="shared" ref="P13:P20" si="5">+F13+I13+L13</f>
        <v>0</v>
      </c>
      <c r="Q13" t="str">
        <f t="shared" si="3"/>
        <v>ERR</v>
      </c>
    </row>
    <row r="14" spans="1:17">
      <c r="A14">
        <v>3114</v>
      </c>
      <c r="B14" t="s">
        <v>7</v>
      </c>
      <c r="C14" s="15"/>
      <c r="D14" s="6">
        <f>'Cost Allocations-Contracts'!F14</f>
        <v>0</v>
      </c>
      <c r="F14" s="15"/>
      <c r="G14" s="6">
        <f t="shared" si="0"/>
        <v>0</v>
      </c>
      <c r="I14" s="11"/>
      <c r="J14" s="6">
        <f t="shared" si="1"/>
        <v>0</v>
      </c>
      <c r="L14" s="15"/>
      <c r="M14" s="6">
        <f t="shared" si="2"/>
        <v>0</v>
      </c>
      <c r="N14" s="6"/>
      <c r="O14" s="6">
        <f t="shared" si="4"/>
        <v>0</v>
      </c>
      <c r="P14" s="11">
        <f t="shared" si="5"/>
        <v>0</v>
      </c>
      <c r="Q14" t="str">
        <f t="shared" si="3"/>
        <v>ERR</v>
      </c>
    </row>
    <row r="15" spans="1:17">
      <c r="A15">
        <v>3300</v>
      </c>
      <c r="B15" t="s">
        <v>8</v>
      </c>
      <c r="C15" s="15"/>
      <c r="D15" s="6">
        <f>'Cost Allocations-Contracts'!F15</f>
        <v>241108.40100000001</v>
      </c>
      <c r="F15" s="15">
        <v>1</v>
      </c>
      <c r="G15" s="6">
        <f t="shared" si="0"/>
        <v>241108.40100000001</v>
      </c>
      <c r="I15" s="11"/>
      <c r="J15" s="6">
        <f t="shared" si="1"/>
        <v>0</v>
      </c>
      <c r="L15" s="11"/>
      <c r="M15" s="6">
        <f t="shared" si="2"/>
        <v>0</v>
      </c>
      <c r="N15" s="6"/>
      <c r="O15" s="6">
        <f t="shared" si="4"/>
        <v>241108.40100000001</v>
      </c>
      <c r="P15" s="11">
        <f t="shared" si="5"/>
        <v>1</v>
      </c>
      <c r="Q15" t="str">
        <f t="shared" si="3"/>
        <v xml:space="preserve"> </v>
      </c>
    </row>
    <row r="16" spans="1:17">
      <c r="A16">
        <v>3310</v>
      </c>
      <c r="B16" t="s">
        <v>9</v>
      </c>
      <c r="C16" s="15"/>
      <c r="D16" s="6">
        <f>'Cost Allocations-Contracts'!F16</f>
        <v>365930.97</v>
      </c>
      <c r="F16" s="15">
        <v>1</v>
      </c>
      <c r="G16" s="6">
        <f t="shared" si="0"/>
        <v>365930.97</v>
      </c>
      <c r="I16" s="11"/>
      <c r="J16" s="6">
        <f t="shared" si="1"/>
        <v>0</v>
      </c>
      <c r="L16" s="11"/>
      <c r="M16" s="6">
        <f t="shared" si="2"/>
        <v>0</v>
      </c>
      <c r="N16" s="6"/>
      <c r="O16" s="6">
        <f t="shared" si="4"/>
        <v>365930.97</v>
      </c>
      <c r="P16" s="11">
        <f t="shared" si="5"/>
        <v>1</v>
      </c>
      <c r="Q16" t="str">
        <f t="shared" si="3"/>
        <v xml:space="preserve"> </v>
      </c>
    </row>
    <row r="17" spans="1:17">
      <c r="A17">
        <v>3510</v>
      </c>
      <c r="B17" t="s">
        <v>327</v>
      </c>
      <c r="C17" s="15"/>
      <c r="D17" s="6">
        <f>'Cost Allocations-Contracts'!F17</f>
        <v>77041.150000000009</v>
      </c>
      <c r="F17" s="15"/>
      <c r="G17" s="6">
        <f t="shared" si="0"/>
        <v>0</v>
      </c>
      <c r="I17" s="11"/>
      <c r="J17" s="6">
        <f t="shared" si="1"/>
        <v>0</v>
      </c>
      <c r="L17" s="88">
        <v>1</v>
      </c>
      <c r="M17" s="6">
        <f t="shared" si="2"/>
        <v>77041.150000000009</v>
      </c>
      <c r="N17" s="6"/>
      <c r="O17" s="6">
        <f>+G17+J17+M17</f>
        <v>77041.150000000009</v>
      </c>
      <c r="P17" s="11">
        <f>+F17+I17+L17</f>
        <v>1</v>
      </c>
    </row>
    <row r="18" spans="1:17">
      <c r="A18">
        <v>3550</v>
      </c>
      <c r="B18" t="s">
        <v>328</v>
      </c>
      <c r="C18" s="15"/>
      <c r="D18" s="6">
        <f>'Cost Allocations-Contracts'!F18</f>
        <v>47391.199999999997</v>
      </c>
      <c r="F18" s="15"/>
      <c r="G18" s="6">
        <f t="shared" si="0"/>
        <v>0</v>
      </c>
      <c r="I18" s="88">
        <v>1</v>
      </c>
      <c r="J18" s="6">
        <f t="shared" si="1"/>
        <v>47391.199999999997</v>
      </c>
      <c r="L18" s="88"/>
      <c r="M18" s="6">
        <f t="shared" si="2"/>
        <v>0</v>
      </c>
      <c r="N18" s="6"/>
      <c r="O18" s="6">
        <f>+G18+J18+M18</f>
        <v>47391.199999999997</v>
      </c>
      <c r="P18" s="11">
        <f>+F18+I18+L18</f>
        <v>1</v>
      </c>
    </row>
    <row r="19" spans="1:17">
      <c r="A19">
        <v>3400</v>
      </c>
      <c r="B19" t="s">
        <v>10</v>
      </c>
      <c r="C19" s="15"/>
      <c r="D19" s="6">
        <f>'Cost Allocations-Contracts'!F19</f>
        <v>0</v>
      </c>
      <c r="F19" s="15"/>
      <c r="G19" s="6">
        <f t="shared" si="0"/>
        <v>0</v>
      </c>
      <c r="I19" s="11"/>
      <c r="J19" s="6">
        <f t="shared" si="1"/>
        <v>0</v>
      </c>
      <c r="L19" s="11"/>
      <c r="M19" s="6">
        <f t="shared" si="2"/>
        <v>0</v>
      </c>
      <c r="N19" s="6"/>
      <c r="O19" s="6">
        <f t="shared" si="4"/>
        <v>0</v>
      </c>
      <c r="P19" s="11">
        <f t="shared" si="5"/>
        <v>0</v>
      </c>
      <c r="Q19" t="str">
        <f t="shared" si="3"/>
        <v>ERR</v>
      </c>
    </row>
    <row r="20" spans="1:17" ht="13.5" thickBot="1">
      <c r="A20">
        <v>3500</v>
      </c>
      <c r="B20" t="s">
        <v>11</v>
      </c>
      <c r="C20" s="25"/>
      <c r="D20" s="7">
        <f>'Cost Allocations-Contracts'!F20</f>
        <v>0</v>
      </c>
      <c r="E20" s="5"/>
      <c r="F20" s="25">
        <v>1</v>
      </c>
      <c r="G20" s="7">
        <f t="shared" si="0"/>
        <v>0</v>
      </c>
      <c r="H20" s="5"/>
      <c r="I20" s="12"/>
      <c r="J20" s="7">
        <f t="shared" si="1"/>
        <v>0</v>
      </c>
      <c r="K20" s="5"/>
      <c r="L20" s="12"/>
      <c r="M20" s="7">
        <f t="shared" si="2"/>
        <v>0</v>
      </c>
      <c r="N20" s="7"/>
      <c r="O20" s="7">
        <f t="shared" si="4"/>
        <v>0</v>
      </c>
      <c r="P20" s="12">
        <f t="shared" si="5"/>
        <v>1</v>
      </c>
      <c r="Q20" t="str">
        <f t="shared" si="3"/>
        <v xml:space="preserve"> </v>
      </c>
    </row>
    <row r="21" spans="1:17">
      <c r="C21" s="11"/>
      <c r="D21" s="6"/>
      <c r="F21" s="11"/>
      <c r="I21" s="11"/>
      <c r="L21" s="11"/>
      <c r="P21" s="11"/>
    </row>
    <row r="22" spans="1:17" ht="13.5" thickBot="1">
      <c r="B22" t="s">
        <v>4</v>
      </c>
      <c r="C22" s="12"/>
      <c r="D22" s="7">
        <f>SUM(D12:D20)</f>
        <v>2752870.8910000003</v>
      </c>
      <c r="E22" s="5"/>
      <c r="F22" s="12">
        <f>+G22/D22</f>
        <v>0.95479906071628406</v>
      </c>
      <c r="G22" s="7">
        <f>SUM(G12:G20)</f>
        <v>2628438.5410000002</v>
      </c>
      <c r="H22" s="5"/>
      <c r="I22" s="12">
        <f>+J22/D22</f>
        <v>1.7215191658619632E-2</v>
      </c>
      <c r="J22" s="7">
        <f>SUM(J12:J20)</f>
        <v>47391.199999999997</v>
      </c>
      <c r="K22" s="5"/>
      <c r="L22" s="12">
        <f>+M22/D22</f>
        <v>2.7985747625096306E-2</v>
      </c>
      <c r="M22" s="7">
        <f>SUM(M12:M20)</f>
        <v>77041.150000000009</v>
      </c>
      <c r="N22" s="5"/>
      <c r="O22" s="7">
        <f>SUM(O12:O20)</f>
        <v>2752870.8910000003</v>
      </c>
      <c r="P22" s="12">
        <f>+F22+I22+L22</f>
        <v>1</v>
      </c>
    </row>
    <row r="23" spans="1:17">
      <c r="C23" s="11"/>
      <c r="D23" s="6"/>
      <c r="F23" s="11"/>
      <c r="I23" s="11"/>
      <c r="L23" s="11"/>
      <c r="P23" s="11"/>
    </row>
    <row r="24" spans="1:17">
      <c r="A24" t="s">
        <v>12</v>
      </c>
      <c r="C24" s="11"/>
      <c r="D24" s="6"/>
      <c r="F24" s="11"/>
      <c r="I24" s="11"/>
      <c r="L24" s="11"/>
      <c r="P24" s="11"/>
    </row>
    <row r="25" spans="1:17">
      <c r="A25" t="s">
        <v>13</v>
      </c>
      <c r="C25" s="11"/>
      <c r="D25" s="6"/>
      <c r="F25" s="11"/>
      <c r="I25" s="11"/>
      <c r="L25" s="11"/>
      <c r="P25" s="11"/>
    </row>
    <row r="26" spans="1:17">
      <c r="A26">
        <v>4116</v>
      </c>
      <c r="B26" t="s">
        <v>29</v>
      </c>
      <c r="C26" s="26"/>
      <c r="D26" s="6">
        <f>'Cost Allocations-Contracts'!F26</f>
        <v>87203.837700448508</v>
      </c>
      <c r="F26" s="422">
        <f>1-I26</f>
        <v>0.96716362118108468</v>
      </c>
      <c r="G26" s="6">
        <f t="shared" ref="G26:G39" si="6">+D26*F26</f>
        <v>84340.379451253364</v>
      </c>
      <c r="I26" s="26">
        <f>+'Hours &amp; Miles'!J25</f>
        <v>3.2836378818915317E-2</v>
      </c>
      <c r="J26" s="6">
        <f>+D26*I26</f>
        <v>2863.4582491951364</v>
      </c>
      <c r="L26" s="11">
        <v>0</v>
      </c>
      <c r="M26" s="6">
        <f t="shared" ref="M26:M39" si="7">+D26*L26</f>
        <v>0</v>
      </c>
      <c r="O26" s="6">
        <f t="shared" ref="O26:O101" si="8">+G26+J26+M26</f>
        <v>87203.837700448494</v>
      </c>
      <c r="P26" s="11">
        <f t="shared" ref="P26:P39" si="9">+F26+I26+L26</f>
        <v>1</v>
      </c>
      <c r="Q26" t="str">
        <f t="shared" ref="Q26:Q98" si="10">IF(P26&lt;&gt;1,"ERR"," ")</f>
        <v xml:space="preserve"> </v>
      </c>
    </row>
    <row r="27" spans="1:17">
      <c r="A27">
        <v>4117</v>
      </c>
      <c r="B27" t="s">
        <v>285</v>
      </c>
      <c r="C27" s="15"/>
      <c r="D27" s="6">
        <f>'Cost Allocations-Contracts'!F27</f>
        <v>3554.75</v>
      </c>
      <c r="F27" s="423">
        <v>1</v>
      </c>
      <c r="G27" s="6">
        <f t="shared" si="6"/>
        <v>3554.75</v>
      </c>
      <c r="I27" s="15">
        <f>+'Hours &amp; Miles'!E26</f>
        <v>0</v>
      </c>
      <c r="J27" s="6">
        <f t="shared" ref="J27:J39" si="11">+D27*I27</f>
        <v>0</v>
      </c>
      <c r="L27" s="15">
        <f>+'Hours &amp; Miles'!F26</f>
        <v>0</v>
      </c>
      <c r="M27" s="6">
        <f t="shared" si="7"/>
        <v>0</v>
      </c>
      <c r="O27" s="6">
        <f>+G27+J27+M27</f>
        <v>3554.75</v>
      </c>
      <c r="P27" s="11">
        <f>+F27+I27+L27</f>
        <v>1</v>
      </c>
      <c r="Q27" t="str">
        <f t="shared" si="10"/>
        <v xml:space="preserve"> </v>
      </c>
    </row>
    <row r="28" spans="1:17">
      <c r="A28">
        <v>4118</v>
      </c>
      <c r="B28" t="s">
        <v>30</v>
      </c>
      <c r="C28" s="26"/>
      <c r="D28" s="6">
        <f>'Cost Allocations-Contracts'!F28</f>
        <v>2829.6183206106871</v>
      </c>
      <c r="F28" s="423">
        <v>1</v>
      </c>
      <c r="G28" s="6">
        <f t="shared" si="6"/>
        <v>2829.6183206106871</v>
      </c>
      <c r="I28" s="15">
        <f>+'Hours &amp; Miles'!E28</f>
        <v>0</v>
      </c>
      <c r="J28" s="6">
        <f t="shared" si="11"/>
        <v>0</v>
      </c>
      <c r="L28" s="15">
        <f>+'Hours &amp; Miles'!F28</f>
        <v>0</v>
      </c>
      <c r="M28" s="6">
        <f t="shared" si="7"/>
        <v>0</v>
      </c>
      <c r="O28" s="6">
        <f t="shared" si="8"/>
        <v>2829.6183206106871</v>
      </c>
      <c r="P28" s="11">
        <f t="shared" si="9"/>
        <v>1</v>
      </c>
      <c r="Q28" s="83"/>
    </row>
    <row r="29" spans="1:17">
      <c r="A29">
        <v>4120</v>
      </c>
      <c r="B29" t="s">
        <v>278</v>
      </c>
      <c r="C29" s="26"/>
      <c r="D29" s="6">
        <f>'Cost Allocations-Contracts'!F29</f>
        <v>140</v>
      </c>
      <c r="F29" s="422">
        <f>+F27</f>
        <v>1</v>
      </c>
      <c r="G29" s="6">
        <f t="shared" si="6"/>
        <v>140</v>
      </c>
      <c r="I29" s="26">
        <f>+'Container Count'!K24</f>
        <v>0</v>
      </c>
      <c r="J29" s="6">
        <f t="shared" si="11"/>
        <v>0</v>
      </c>
      <c r="L29" s="27">
        <f>+'Container Count'!K26</f>
        <v>0</v>
      </c>
      <c r="M29" s="6">
        <f t="shared" si="7"/>
        <v>0</v>
      </c>
      <c r="O29" s="6">
        <f>+G29+J29+M29</f>
        <v>140</v>
      </c>
      <c r="P29" s="11">
        <f>+F29+I29+L29</f>
        <v>1</v>
      </c>
      <c r="Q29" t="str">
        <f t="shared" si="10"/>
        <v xml:space="preserve"> </v>
      </c>
    </row>
    <row r="30" spans="1:17">
      <c r="A30">
        <v>4122</v>
      </c>
      <c r="B30" t="s">
        <v>329</v>
      </c>
      <c r="C30" s="88"/>
      <c r="D30" s="6">
        <f>'Cost Allocations-Contracts'!F30</f>
        <v>4619.5</v>
      </c>
      <c r="F30" s="424">
        <v>0</v>
      </c>
      <c r="G30" s="6">
        <f t="shared" si="6"/>
        <v>0</v>
      </c>
      <c r="I30" s="88">
        <v>0</v>
      </c>
      <c r="J30" s="6">
        <f t="shared" si="11"/>
        <v>0</v>
      </c>
      <c r="L30" s="88">
        <v>1</v>
      </c>
      <c r="M30" s="6">
        <f t="shared" si="7"/>
        <v>4619.5</v>
      </c>
      <c r="O30" s="6">
        <f>+G30+J30+M30</f>
        <v>4619.5</v>
      </c>
      <c r="P30" s="11">
        <f>+F30+I30+L30</f>
        <v>1</v>
      </c>
      <c r="Q30" s="83"/>
    </row>
    <row r="31" spans="1:17">
      <c r="A31">
        <v>4132</v>
      </c>
      <c r="B31" t="s">
        <v>31</v>
      </c>
      <c r="C31" s="11"/>
      <c r="D31" s="6">
        <f>'Cost Allocations-Contracts'!F31</f>
        <v>52987.201851541307</v>
      </c>
      <c r="F31" s="425">
        <f>1-I31</f>
        <v>0.96716362118108468</v>
      </c>
      <c r="G31" s="6">
        <f t="shared" si="6"/>
        <v>51247.294018989764</v>
      </c>
      <c r="I31" s="11">
        <f>+I26</f>
        <v>3.2836378818915317E-2</v>
      </c>
      <c r="J31" s="6">
        <f t="shared" si="11"/>
        <v>1739.9078325515416</v>
      </c>
      <c r="L31" s="11">
        <v>0</v>
      </c>
      <c r="M31" s="6">
        <f t="shared" si="7"/>
        <v>0</v>
      </c>
      <c r="O31" s="6">
        <f t="shared" si="8"/>
        <v>52987.201851541307</v>
      </c>
      <c r="P31" s="11">
        <f t="shared" si="9"/>
        <v>1</v>
      </c>
      <c r="Q31" t="str">
        <f t="shared" si="10"/>
        <v xml:space="preserve"> </v>
      </c>
    </row>
    <row r="32" spans="1:17">
      <c r="A32">
        <v>4133</v>
      </c>
      <c r="B32" t="s">
        <v>279</v>
      </c>
      <c r="C32" s="11"/>
      <c r="D32" s="6">
        <f>'Cost Allocations-Contracts'!F32</f>
        <v>5382.42</v>
      </c>
      <c r="F32" s="425">
        <f>+F27</f>
        <v>1</v>
      </c>
      <c r="G32" s="6">
        <f t="shared" si="6"/>
        <v>5382.42</v>
      </c>
      <c r="I32" s="11">
        <f>+I27</f>
        <v>0</v>
      </c>
      <c r="J32" s="6">
        <f t="shared" si="11"/>
        <v>0</v>
      </c>
      <c r="L32" s="11">
        <f>+L27</f>
        <v>0</v>
      </c>
      <c r="M32" s="6">
        <f t="shared" si="7"/>
        <v>0</v>
      </c>
      <c r="O32" s="6">
        <f>+G32+J32+M32</f>
        <v>5382.42</v>
      </c>
      <c r="P32" s="11">
        <f>+F32+I32+L32</f>
        <v>1</v>
      </c>
      <c r="Q32" t="str">
        <f t="shared" si="10"/>
        <v xml:space="preserve"> </v>
      </c>
    </row>
    <row r="33" spans="1:17">
      <c r="A33">
        <v>4134</v>
      </c>
      <c r="B33" t="s">
        <v>32</v>
      </c>
      <c r="C33" s="11"/>
      <c r="D33" s="6">
        <f>'Cost Allocations-Contracts'!F33</f>
        <v>4335.7190839694658</v>
      </c>
      <c r="F33" s="425">
        <f>+F28</f>
        <v>1</v>
      </c>
      <c r="G33" s="6">
        <f t="shared" si="6"/>
        <v>4335.7190839694658</v>
      </c>
      <c r="I33" s="11">
        <f>+I28</f>
        <v>0</v>
      </c>
      <c r="J33" s="6">
        <f t="shared" si="11"/>
        <v>0</v>
      </c>
      <c r="L33" s="11">
        <f>+L28</f>
        <v>0</v>
      </c>
      <c r="M33" s="6">
        <f t="shared" si="7"/>
        <v>0</v>
      </c>
      <c r="O33" s="6">
        <f t="shared" si="8"/>
        <v>4335.7190839694658</v>
      </c>
      <c r="P33" s="11">
        <f t="shared" si="9"/>
        <v>1</v>
      </c>
      <c r="Q33" t="str">
        <f t="shared" si="10"/>
        <v xml:space="preserve"> </v>
      </c>
    </row>
    <row r="34" spans="1:17">
      <c r="A34">
        <v>4136</v>
      </c>
      <c r="B34" t="s">
        <v>280</v>
      </c>
      <c r="C34" s="11"/>
      <c r="D34" s="6">
        <f>'Cost Allocations-Contracts'!F34</f>
        <v>526.72</v>
      </c>
      <c r="F34" s="425">
        <f>+F27</f>
        <v>1</v>
      </c>
      <c r="G34" s="6">
        <f t="shared" si="6"/>
        <v>526.72</v>
      </c>
      <c r="I34" s="11">
        <f>+I29</f>
        <v>0</v>
      </c>
      <c r="J34" s="6">
        <f t="shared" si="11"/>
        <v>0</v>
      </c>
      <c r="L34" s="11">
        <f>+L29</f>
        <v>0</v>
      </c>
      <c r="M34" s="6">
        <f t="shared" si="7"/>
        <v>0</v>
      </c>
      <c r="O34" s="6">
        <f>+G34+J34+M34</f>
        <v>526.72</v>
      </c>
      <c r="P34" s="11">
        <f>+F34+I34+L34</f>
        <v>1</v>
      </c>
      <c r="Q34" t="str">
        <f t="shared" si="10"/>
        <v xml:space="preserve"> </v>
      </c>
    </row>
    <row r="35" spans="1:17">
      <c r="A35">
        <v>4138</v>
      </c>
      <c r="B35" t="s">
        <v>330</v>
      </c>
      <c r="C35" s="11"/>
      <c r="D35" s="6">
        <f>'Cost Allocations-Contracts'!F35</f>
        <v>2603.9899999999998</v>
      </c>
      <c r="F35" s="425">
        <f>+F30</f>
        <v>0</v>
      </c>
      <c r="G35" s="6">
        <f t="shared" si="6"/>
        <v>0</v>
      </c>
      <c r="I35" s="11">
        <f>+I30</f>
        <v>0</v>
      </c>
      <c r="J35" s="6">
        <f t="shared" si="11"/>
        <v>0</v>
      </c>
      <c r="L35" s="11">
        <f>+L30</f>
        <v>1</v>
      </c>
      <c r="M35" s="6">
        <f t="shared" si="7"/>
        <v>2603.9899999999998</v>
      </c>
      <c r="O35" s="6">
        <f>+G35+J35+M35</f>
        <v>2603.9899999999998</v>
      </c>
      <c r="P35" s="11">
        <f>+F35+I35+L35</f>
        <v>1</v>
      </c>
      <c r="Q35" t="str">
        <f>IF(P35&lt;&gt;1,"ERR"," ")</f>
        <v xml:space="preserve"> </v>
      </c>
    </row>
    <row r="36" spans="1:17">
      <c r="A36">
        <v>4160</v>
      </c>
      <c r="B36" t="s">
        <v>33</v>
      </c>
      <c r="C36" s="26"/>
      <c r="D36" s="6">
        <f>'Cost Allocations-Contracts'!F36</f>
        <v>27333.781417150367</v>
      </c>
      <c r="F36" s="422">
        <f>+'Hours &amp; Miles'!I71</f>
        <v>0.87785781832341325</v>
      </c>
      <c r="G36" s="6">
        <f t="shared" si="6"/>
        <v>23995.173721388677</v>
      </c>
      <c r="I36" s="26">
        <f>+'Hours &amp; Miles'!J71</f>
        <v>3.3751460199143352E-2</v>
      </c>
      <c r="J36" s="6">
        <f t="shared" si="11"/>
        <v>922.55503559303475</v>
      </c>
      <c r="L36" s="26">
        <f>+'Hours &amp; Miles'!K71</f>
        <v>8.8390721477443396E-2</v>
      </c>
      <c r="M36" s="6">
        <f t="shared" si="7"/>
        <v>2416.0526601686561</v>
      </c>
      <c r="O36" s="6">
        <f t="shared" si="8"/>
        <v>27333.781417150371</v>
      </c>
      <c r="P36" s="11">
        <f t="shared" si="9"/>
        <v>1</v>
      </c>
      <c r="Q36" t="str">
        <f t="shared" si="10"/>
        <v xml:space="preserve"> </v>
      </c>
    </row>
    <row r="37" spans="1:17">
      <c r="A37">
        <v>4161</v>
      </c>
      <c r="B37" t="s">
        <v>281</v>
      </c>
      <c r="C37" s="26"/>
      <c r="D37" s="6">
        <f>'Cost Allocations-Contracts'!F37</f>
        <v>3764.16</v>
      </c>
      <c r="F37" s="422">
        <f>+F27</f>
        <v>1</v>
      </c>
      <c r="G37" s="6">
        <f t="shared" si="6"/>
        <v>3764.16</v>
      </c>
      <c r="I37" s="26">
        <f>+'Hours &amp; Miles'!E72</f>
        <v>0</v>
      </c>
      <c r="J37" s="6">
        <f t="shared" si="11"/>
        <v>0</v>
      </c>
      <c r="L37" s="26">
        <f>+'Hours &amp; Miles'!F72</f>
        <v>0</v>
      </c>
      <c r="M37" s="6">
        <f t="shared" si="7"/>
        <v>0</v>
      </c>
      <c r="O37" s="6">
        <f>+G37+J37+M37</f>
        <v>3764.16</v>
      </c>
      <c r="P37" s="11">
        <f>+F37+I37+L37</f>
        <v>1</v>
      </c>
      <c r="Q37" t="str">
        <f t="shared" si="10"/>
        <v xml:space="preserve"> </v>
      </c>
    </row>
    <row r="38" spans="1:17">
      <c r="A38">
        <v>4162</v>
      </c>
      <c r="B38" t="s">
        <v>1275</v>
      </c>
      <c r="C38" s="26"/>
      <c r="D38" s="6">
        <f>'Cost Allocations-Contracts'!F38</f>
        <v>0</v>
      </c>
      <c r="F38" s="422">
        <v>0</v>
      </c>
      <c r="G38" s="6">
        <f t="shared" ref="G38" si="12">+D38*F38</f>
        <v>0</v>
      </c>
      <c r="I38" s="26">
        <f>+'Hours &amp; Miles'!E73</f>
        <v>0</v>
      </c>
      <c r="J38" s="6">
        <f t="shared" ref="J38" si="13">+D38*I38</f>
        <v>0</v>
      </c>
      <c r="L38" s="26">
        <v>1</v>
      </c>
      <c r="M38" s="6">
        <f t="shared" ref="M38" si="14">+D38*L38</f>
        <v>0</v>
      </c>
      <c r="O38" s="6">
        <f>+G38+J38+M38</f>
        <v>0</v>
      </c>
      <c r="P38" s="11">
        <f>+F38+I38+L38</f>
        <v>1</v>
      </c>
      <c r="Q38" t="str">
        <f t="shared" ref="Q38" si="15">IF(P38&lt;&gt;1,"ERR"," ")</f>
        <v xml:space="preserve"> </v>
      </c>
    </row>
    <row r="39" spans="1:17">
      <c r="A39">
        <v>4180</v>
      </c>
      <c r="B39" t="s">
        <v>34</v>
      </c>
      <c r="C39" s="11"/>
      <c r="D39" s="6">
        <f>'Cost Allocations-Contracts'!F39</f>
        <v>18616.181714370468</v>
      </c>
      <c r="F39" s="425">
        <f>+F26</f>
        <v>0.96716362118108468</v>
      </c>
      <c r="G39" s="6">
        <f t="shared" si="6"/>
        <v>18004.893719435637</v>
      </c>
      <c r="I39" s="11">
        <f>+I26</f>
        <v>3.2836378818915317E-2</v>
      </c>
      <c r="J39" s="6">
        <f t="shared" si="11"/>
        <v>611.28799493483314</v>
      </c>
      <c r="L39" s="11">
        <f>+L26</f>
        <v>0</v>
      </c>
      <c r="M39" s="6">
        <f t="shared" si="7"/>
        <v>0</v>
      </c>
      <c r="O39" s="6">
        <f t="shared" si="8"/>
        <v>18616.181714370468</v>
      </c>
      <c r="P39" s="11">
        <f t="shared" si="9"/>
        <v>1</v>
      </c>
      <c r="Q39" t="str">
        <f t="shared" si="10"/>
        <v xml:space="preserve"> </v>
      </c>
    </row>
    <row r="40" spans="1:17">
      <c r="A40" t="s">
        <v>16</v>
      </c>
      <c r="C40" s="11"/>
      <c r="D40" s="6"/>
      <c r="F40" s="11"/>
      <c r="G40" s="6"/>
      <c r="I40" s="11"/>
      <c r="J40" s="6"/>
      <c r="L40" s="11"/>
      <c r="M40" s="6"/>
      <c r="O40" s="6"/>
      <c r="P40" s="11"/>
    </row>
    <row r="41" spans="1:17">
      <c r="A41">
        <v>4210</v>
      </c>
      <c r="B41" t="s">
        <v>35</v>
      </c>
      <c r="C41" s="11"/>
      <c r="D41" s="6">
        <f>'Cost Allocations-Contracts'!F41</f>
        <v>0</v>
      </c>
      <c r="F41" s="422">
        <f>'Hours &amp; Miles'!I47</f>
        <v>0.92742375833832935</v>
      </c>
      <c r="G41" s="6">
        <f t="shared" ref="G41:G50" si="16">+D41*F41</f>
        <v>0</v>
      </c>
      <c r="I41" s="26">
        <f>'Hours &amp; Miles'!J47</f>
        <v>2.3121607211350103E-2</v>
      </c>
      <c r="J41" s="6">
        <f t="shared" ref="J41:J50" si="17">+D41*I41</f>
        <v>0</v>
      </c>
      <c r="L41" s="26">
        <f>'Hours &amp; Miles'!K47</f>
        <v>4.9454634450320681E-2</v>
      </c>
      <c r="M41" s="6">
        <f t="shared" ref="M41:M50" si="18">+D41*L41</f>
        <v>0</v>
      </c>
      <c r="O41" s="6">
        <f t="shared" si="8"/>
        <v>0</v>
      </c>
      <c r="P41" s="11">
        <f t="shared" ref="P41:P49" si="19">+F41+I41+L41</f>
        <v>1.0000000000000002</v>
      </c>
      <c r="Q41" t="str">
        <f t="shared" si="10"/>
        <v xml:space="preserve"> </v>
      </c>
    </row>
    <row r="42" spans="1:17">
      <c r="A42">
        <v>4213</v>
      </c>
      <c r="B42" t="s">
        <v>36</v>
      </c>
      <c r="C42" s="11"/>
      <c r="D42" s="6">
        <f>'Cost Allocations-Contracts'!F42</f>
        <v>301035.30634600023</v>
      </c>
      <c r="F42" s="425">
        <f>'Hours &amp; Miles'!I50</f>
        <v>0.97567543007483981</v>
      </c>
      <c r="G42" s="6">
        <f t="shared" si="16"/>
        <v>293712.75198684493</v>
      </c>
      <c r="I42" s="11">
        <f>'Hours &amp; Miles'!J50</f>
        <v>2.4324569925160158E-2</v>
      </c>
      <c r="J42" s="6">
        <f t="shared" si="17"/>
        <v>7322.5543591552923</v>
      </c>
      <c r="L42" s="11">
        <f>'Hours &amp; Miles'!K50</f>
        <v>0</v>
      </c>
      <c r="M42" s="6">
        <f t="shared" si="18"/>
        <v>0</v>
      </c>
      <c r="O42" s="6">
        <f t="shared" si="8"/>
        <v>301035.30634600023</v>
      </c>
      <c r="P42" s="11">
        <f t="shared" si="19"/>
        <v>1</v>
      </c>
      <c r="Q42" t="str">
        <f t="shared" si="10"/>
        <v xml:space="preserve"> </v>
      </c>
    </row>
    <row r="43" spans="1:17">
      <c r="A43">
        <v>4215</v>
      </c>
      <c r="B43" t="s">
        <v>37</v>
      </c>
      <c r="C43" s="26"/>
      <c r="D43" s="6">
        <f>'Cost Allocations-Contracts'!F43</f>
        <v>41679.339999999997</v>
      </c>
      <c r="F43" s="422">
        <f>+F27</f>
        <v>1</v>
      </c>
      <c r="G43" s="6">
        <f t="shared" si="16"/>
        <v>41679.339999999997</v>
      </c>
      <c r="I43" s="26">
        <f>+I27</f>
        <v>0</v>
      </c>
      <c r="J43" s="6">
        <f t="shared" si="17"/>
        <v>0</v>
      </c>
      <c r="L43" s="26">
        <f>+L27</f>
        <v>0</v>
      </c>
      <c r="M43" s="6">
        <f t="shared" si="18"/>
        <v>0</v>
      </c>
      <c r="O43" s="6">
        <f t="shared" si="8"/>
        <v>41679.339999999997</v>
      </c>
      <c r="P43" s="11">
        <f t="shared" si="19"/>
        <v>1</v>
      </c>
      <c r="Q43" t="str">
        <f t="shared" si="10"/>
        <v xml:space="preserve"> </v>
      </c>
    </row>
    <row r="44" spans="1:17">
      <c r="A44">
        <v>4217</v>
      </c>
      <c r="B44" t="s">
        <v>284</v>
      </c>
      <c r="C44" s="11"/>
      <c r="D44" s="6">
        <f>'Cost Allocations-Contracts'!F44</f>
        <v>8045.9869679399462</v>
      </c>
      <c r="F44" s="425">
        <f>'Hours &amp; Miles'!I51</f>
        <v>0.94937483025994174</v>
      </c>
      <c r="G44" s="6">
        <f t="shared" si="16"/>
        <v>7638.65751196169</v>
      </c>
      <c r="I44" s="11">
        <f>'Hours &amp; Miles'!J51</f>
        <v>0</v>
      </c>
      <c r="J44" s="6">
        <f t="shared" si="17"/>
        <v>0</v>
      </c>
      <c r="L44" s="11">
        <f>'Hours &amp; Miles'!K51</f>
        <v>5.0625169740058228E-2</v>
      </c>
      <c r="M44" s="6">
        <f t="shared" si="18"/>
        <v>407.32945597825619</v>
      </c>
      <c r="O44" s="6">
        <f>+G44+J44+M44</f>
        <v>8045.9869679399462</v>
      </c>
      <c r="P44" s="11">
        <f t="shared" si="19"/>
        <v>1</v>
      </c>
      <c r="Q44" t="str">
        <f t="shared" si="10"/>
        <v xml:space="preserve"> </v>
      </c>
    </row>
    <row r="45" spans="1:17">
      <c r="A45">
        <v>4222</v>
      </c>
      <c r="B45" t="s">
        <v>331</v>
      </c>
      <c r="C45" s="11"/>
      <c r="D45" s="6">
        <f>'Cost Allocations-Contracts'!F45</f>
        <v>9409.880000000001</v>
      </c>
      <c r="F45" s="425">
        <f>F30</f>
        <v>0</v>
      </c>
      <c r="G45" s="6">
        <f t="shared" si="16"/>
        <v>0</v>
      </c>
      <c r="I45" s="11">
        <v>0</v>
      </c>
      <c r="J45" s="6">
        <f t="shared" si="17"/>
        <v>0</v>
      </c>
      <c r="L45" s="11">
        <v>1</v>
      </c>
      <c r="M45" s="6">
        <f t="shared" si="18"/>
        <v>9409.880000000001</v>
      </c>
      <c r="O45" s="6">
        <f>+G45+J45+M45</f>
        <v>9409.880000000001</v>
      </c>
      <c r="P45" s="11">
        <f>+F45+I45+L45</f>
        <v>1</v>
      </c>
      <c r="Q45" t="str">
        <f>IF(P45&lt;&gt;1,"ERR"," ")</f>
        <v xml:space="preserve"> </v>
      </c>
    </row>
    <row r="46" spans="1:17">
      <c r="A46">
        <v>4240</v>
      </c>
      <c r="B46" t="s">
        <v>38</v>
      </c>
      <c r="C46" s="11"/>
      <c r="D46" s="6">
        <f>'Cost Allocations-Contracts'!F46</f>
        <v>97160.947307485432</v>
      </c>
      <c r="F46" s="425">
        <f>'Hours &amp; Miles'!I74</f>
        <v>0.96297595801806202</v>
      </c>
      <c r="G46" s="6">
        <f t="shared" si="16"/>
        <v>93563.656315368222</v>
      </c>
      <c r="I46" s="11">
        <f>'Hours &amp; Miles'!J74</f>
        <v>3.7024041981937983E-2</v>
      </c>
      <c r="J46" s="6">
        <f t="shared" si="17"/>
        <v>3597.290992117205</v>
      </c>
      <c r="L46" s="11">
        <v>0</v>
      </c>
      <c r="M46" s="6">
        <f t="shared" si="18"/>
        <v>0</v>
      </c>
      <c r="O46" s="6">
        <f t="shared" si="8"/>
        <v>97160.947307485432</v>
      </c>
      <c r="P46" s="11">
        <f t="shared" si="19"/>
        <v>1</v>
      </c>
      <c r="Q46" t="str">
        <f t="shared" si="10"/>
        <v xml:space="preserve"> </v>
      </c>
    </row>
    <row r="47" spans="1:17">
      <c r="A47">
        <v>4241</v>
      </c>
      <c r="B47" t="s">
        <v>282</v>
      </c>
      <c r="C47" s="11"/>
      <c r="D47" s="6">
        <f>'Cost Allocations-Contracts'!F47</f>
        <v>24776.99</v>
      </c>
      <c r="F47" s="425">
        <f>+F27</f>
        <v>1</v>
      </c>
      <c r="G47" s="6">
        <f t="shared" si="16"/>
        <v>24776.99</v>
      </c>
      <c r="I47" s="11">
        <f>+I27</f>
        <v>0</v>
      </c>
      <c r="J47" s="6">
        <f t="shared" si="17"/>
        <v>0</v>
      </c>
      <c r="L47" s="11">
        <f>+L27</f>
        <v>0</v>
      </c>
      <c r="M47" s="6">
        <f t="shared" si="18"/>
        <v>0</v>
      </c>
      <c r="O47" s="6">
        <f>+G47+J47+M47</f>
        <v>24776.99</v>
      </c>
      <c r="P47" s="11">
        <f t="shared" si="19"/>
        <v>1</v>
      </c>
      <c r="Q47" t="str">
        <f t="shared" si="10"/>
        <v xml:space="preserve"> </v>
      </c>
    </row>
    <row r="48" spans="1:17">
      <c r="A48">
        <v>4244</v>
      </c>
      <c r="B48" t="s">
        <v>332</v>
      </c>
      <c r="C48" s="11"/>
      <c r="D48" s="6">
        <f>'Cost Allocations-Contracts'!F48</f>
        <v>3085.0899999999997</v>
      </c>
      <c r="F48" s="425">
        <f>F45</f>
        <v>0</v>
      </c>
      <c r="G48" s="6">
        <f t="shared" si="16"/>
        <v>0</v>
      </c>
      <c r="I48" s="11">
        <v>0</v>
      </c>
      <c r="J48" s="6">
        <f t="shared" si="17"/>
        <v>0</v>
      </c>
      <c r="L48" s="11">
        <v>1</v>
      </c>
      <c r="M48" s="6">
        <f t="shared" si="18"/>
        <v>3085.0899999999997</v>
      </c>
      <c r="O48" s="6">
        <f>+G48+J48+M48</f>
        <v>3085.0899999999997</v>
      </c>
      <c r="P48" s="11">
        <f>+F48+I48+L48</f>
        <v>1</v>
      </c>
      <c r="Q48" t="str">
        <f>IF(P48&lt;&gt;1,"ERR"," ")</f>
        <v xml:space="preserve"> </v>
      </c>
    </row>
    <row r="49" spans="1:17">
      <c r="A49">
        <v>4280</v>
      </c>
      <c r="B49" t="s">
        <v>39</v>
      </c>
      <c r="C49" s="11"/>
      <c r="D49" s="6">
        <f>'Cost Allocations-Contracts'!F49</f>
        <v>12441.348973690663</v>
      </c>
      <c r="F49" s="425">
        <f>F42</f>
        <v>0.97567543007483981</v>
      </c>
      <c r="G49" s="6">
        <f t="shared" si="16"/>
        <v>12138.718510616805</v>
      </c>
      <c r="I49" s="11">
        <f>+I42</f>
        <v>2.4324569925160158E-2</v>
      </c>
      <c r="J49" s="6">
        <f t="shared" si="17"/>
        <v>302.6304630738581</v>
      </c>
      <c r="L49" s="11">
        <f>+L42</f>
        <v>0</v>
      </c>
      <c r="M49" s="6">
        <f t="shared" si="18"/>
        <v>0</v>
      </c>
      <c r="O49" s="6">
        <f t="shared" si="8"/>
        <v>12441.348973690663</v>
      </c>
      <c r="P49" s="11">
        <f t="shared" si="19"/>
        <v>1</v>
      </c>
      <c r="Q49" t="str">
        <f t="shared" si="10"/>
        <v xml:space="preserve"> </v>
      </c>
    </row>
    <row r="50" spans="1:17">
      <c r="A50">
        <v>4282</v>
      </c>
      <c r="B50" t="s">
        <v>334</v>
      </c>
      <c r="C50" s="11"/>
      <c r="D50" s="6">
        <f>'Cost Allocations-Contracts'!F50</f>
        <v>0</v>
      </c>
      <c r="F50" s="425">
        <f>F48</f>
        <v>0</v>
      </c>
      <c r="G50" s="6">
        <f t="shared" si="16"/>
        <v>0</v>
      </c>
      <c r="I50" s="11">
        <f>+I27</f>
        <v>0</v>
      </c>
      <c r="J50" s="6">
        <f t="shared" si="17"/>
        <v>0</v>
      </c>
      <c r="L50" s="11">
        <v>1</v>
      </c>
      <c r="M50" s="6">
        <f t="shared" si="18"/>
        <v>0</v>
      </c>
      <c r="O50" s="6">
        <f>+G50+J50+M50</f>
        <v>0</v>
      </c>
      <c r="P50" s="11">
        <f>+F50+I50+L50</f>
        <v>1</v>
      </c>
      <c r="Q50" t="str">
        <f>IF(P50&lt;&gt;1,"ERR"," ")</f>
        <v xml:space="preserve"> </v>
      </c>
    </row>
    <row r="51" spans="1:17">
      <c r="A51" t="s">
        <v>17</v>
      </c>
      <c r="C51" s="11"/>
      <c r="D51" s="6"/>
      <c r="F51" s="11"/>
      <c r="G51" s="6"/>
      <c r="I51" s="11"/>
      <c r="J51" s="6"/>
      <c r="L51" s="11"/>
      <c r="M51" s="6"/>
      <c r="O51" s="6"/>
      <c r="P51" s="11"/>
    </row>
    <row r="52" spans="1:17">
      <c r="A52">
        <v>4360</v>
      </c>
      <c r="B52" t="s">
        <v>40</v>
      </c>
      <c r="C52" s="26"/>
      <c r="D52" s="6">
        <f>'Cost Allocations-Contracts'!F52</f>
        <v>447644.11896463233</v>
      </c>
      <c r="F52" s="422">
        <v>1</v>
      </c>
      <c r="G52" s="6">
        <f>+D52*F52</f>
        <v>447644.11896463233</v>
      </c>
      <c r="I52" s="26">
        <v>0</v>
      </c>
      <c r="J52" s="6">
        <f>+D52*I52</f>
        <v>0</v>
      </c>
      <c r="L52" s="26">
        <v>0</v>
      </c>
      <c r="M52" s="6">
        <f>+D52*L52</f>
        <v>0</v>
      </c>
      <c r="O52" s="6">
        <f t="shared" si="8"/>
        <v>447644.11896463233</v>
      </c>
      <c r="P52" s="11">
        <f>+F52+I52+L52</f>
        <v>1</v>
      </c>
      <c r="Q52" t="str">
        <f t="shared" si="10"/>
        <v xml:space="preserve"> </v>
      </c>
    </row>
    <row r="53" spans="1:17">
      <c r="A53">
        <v>4361</v>
      </c>
      <c r="B53" t="s">
        <v>41</v>
      </c>
      <c r="C53" s="15"/>
      <c r="D53" s="6">
        <f>'Cost Allocations-Contracts'!F53</f>
        <v>255383.11</v>
      </c>
      <c r="F53" s="422">
        <v>1</v>
      </c>
      <c r="G53" s="6">
        <f>+D53*F53</f>
        <v>255383.11</v>
      </c>
      <c r="I53" s="26">
        <v>0</v>
      </c>
      <c r="J53" s="6">
        <f>+D53*I53</f>
        <v>0</v>
      </c>
      <c r="L53" s="26">
        <v>0</v>
      </c>
      <c r="M53" s="6">
        <f>+D53*L53</f>
        <v>0</v>
      </c>
      <c r="O53" s="6">
        <f t="shared" si="8"/>
        <v>255383.11</v>
      </c>
      <c r="P53" s="11">
        <f>+F53+I53+L53</f>
        <v>1</v>
      </c>
      <c r="Q53" t="str">
        <f t="shared" si="10"/>
        <v xml:space="preserve"> </v>
      </c>
    </row>
    <row r="54" spans="1:17">
      <c r="A54">
        <v>4362</v>
      </c>
      <c r="B54" t="s">
        <v>42</v>
      </c>
      <c r="C54" s="26"/>
      <c r="D54" s="6">
        <f>'Cost Allocations-Contracts'!F54</f>
        <v>120310.00710885911</v>
      </c>
      <c r="F54" s="422">
        <v>1</v>
      </c>
      <c r="G54" s="6">
        <f>+D54*F54</f>
        <v>120310.00710885911</v>
      </c>
      <c r="I54" s="26">
        <v>0</v>
      </c>
      <c r="J54" s="6">
        <f>+D54*I54</f>
        <v>0</v>
      </c>
      <c r="L54" s="26">
        <v>0</v>
      </c>
      <c r="M54" s="6">
        <f>+D54*L54</f>
        <v>0</v>
      </c>
      <c r="O54" s="6">
        <f t="shared" si="8"/>
        <v>120310.00710885911</v>
      </c>
      <c r="P54" s="11">
        <f>+F54+I54+L54</f>
        <v>1</v>
      </c>
      <c r="Q54" t="str">
        <f t="shared" si="10"/>
        <v xml:space="preserve"> </v>
      </c>
    </row>
    <row r="55" spans="1:17">
      <c r="A55">
        <v>4363</v>
      </c>
      <c r="B55" t="s">
        <v>43</v>
      </c>
      <c r="C55" s="15"/>
      <c r="D55" s="6">
        <f>'Cost Allocations-Contracts'!F55</f>
        <v>110547.86</v>
      </c>
      <c r="F55" s="422">
        <v>1</v>
      </c>
      <c r="G55" s="6">
        <f>+D55*F55</f>
        <v>110547.86</v>
      </c>
      <c r="I55" s="26">
        <v>0</v>
      </c>
      <c r="J55" s="6">
        <f>+D55*I55</f>
        <v>0</v>
      </c>
      <c r="L55" s="26">
        <v>0</v>
      </c>
      <c r="M55" s="6">
        <f>+D55*L55</f>
        <v>0</v>
      </c>
      <c r="O55" s="6">
        <f t="shared" si="8"/>
        <v>110547.86</v>
      </c>
      <c r="P55" s="11">
        <f>+F55+I55+L55</f>
        <v>1</v>
      </c>
      <c r="Q55" t="str">
        <f t="shared" si="10"/>
        <v xml:space="preserve"> </v>
      </c>
    </row>
    <row r="56" spans="1:17">
      <c r="A56">
        <v>4380</v>
      </c>
      <c r="B56" t="s">
        <v>335</v>
      </c>
      <c r="C56" s="15"/>
      <c r="D56" s="6">
        <f>'Cost Allocations-Contracts'!F56</f>
        <v>11243.690000000002</v>
      </c>
      <c r="F56" s="423">
        <v>0</v>
      </c>
      <c r="G56" s="6">
        <f>+D56*F56</f>
        <v>0</v>
      </c>
      <c r="I56" s="15">
        <v>0</v>
      </c>
      <c r="J56" s="6">
        <f>+D56*I56</f>
        <v>0</v>
      </c>
      <c r="L56" s="15">
        <v>1</v>
      </c>
      <c r="M56" s="6">
        <f>+D56*L56</f>
        <v>11243.690000000002</v>
      </c>
      <c r="O56" s="6">
        <f>+G56+J56+M56</f>
        <v>11243.690000000002</v>
      </c>
      <c r="P56" s="11">
        <f>+F56+I56+L56</f>
        <v>1</v>
      </c>
      <c r="Q56" t="str">
        <f>IF(P56&lt;&gt;1,"ERR"," ")</f>
        <v xml:space="preserve"> </v>
      </c>
    </row>
    <row r="57" spans="1:17">
      <c r="A57" t="s">
        <v>14</v>
      </c>
      <c r="C57" s="11"/>
      <c r="D57" s="6"/>
      <c r="F57" s="11"/>
      <c r="G57" s="6"/>
      <c r="I57" s="11"/>
      <c r="J57" s="6"/>
      <c r="L57" s="11"/>
      <c r="M57" s="6"/>
      <c r="O57" s="6"/>
      <c r="P57" s="11"/>
    </row>
    <row r="58" spans="1:17">
      <c r="A58">
        <v>4430</v>
      </c>
      <c r="B58" t="s">
        <v>44</v>
      </c>
      <c r="C58" s="11"/>
      <c r="D58" s="6">
        <f>'Cost Allocations-Contracts'!F58</f>
        <v>0</v>
      </c>
      <c r="F58" s="425">
        <v>1</v>
      </c>
      <c r="G58" s="6">
        <f>+D58*F58</f>
        <v>0</v>
      </c>
      <c r="I58" s="11">
        <v>0</v>
      </c>
      <c r="J58" s="6">
        <f>+D58*I58</f>
        <v>0</v>
      </c>
      <c r="L58" s="11">
        <v>0</v>
      </c>
      <c r="M58" s="6">
        <f>+D58*L58</f>
        <v>0</v>
      </c>
      <c r="O58" s="6">
        <f t="shared" si="8"/>
        <v>0</v>
      </c>
      <c r="P58" s="11">
        <f>+F58+I58+L58</f>
        <v>1</v>
      </c>
      <c r="Q58" t="str">
        <f t="shared" si="10"/>
        <v xml:space="preserve"> </v>
      </c>
    </row>
    <row r="59" spans="1:17">
      <c r="A59">
        <v>4450</v>
      </c>
      <c r="B59" t="s">
        <v>45</v>
      </c>
      <c r="C59" s="15"/>
      <c r="D59" s="6">
        <f>'Cost Allocations-Contracts'!F59</f>
        <v>3734.3199999999997</v>
      </c>
      <c r="F59" s="423">
        <v>1</v>
      </c>
      <c r="G59" s="6">
        <f>+D59*F59</f>
        <v>3734.3199999999997</v>
      </c>
      <c r="I59" s="15">
        <v>0</v>
      </c>
      <c r="J59" s="6">
        <f>+D59*I59</f>
        <v>0</v>
      </c>
      <c r="L59" s="15">
        <v>0</v>
      </c>
      <c r="M59" s="6">
        <f>+D59*L59</f>
        <v>0</v>
      </c>
      <c r="O59" s="6">
        <f t="shared" si="8"/>
        <v>3734.3199999999997</v>
      </c>
      <c r="P59" s="11">
        <f>+F59+I59+L59</f>
        <v>1</v>
      </c>
      <c r="Q59" t="str">
        <f t="shared" si="10"/>
        <v xml:space="preserve"> </v>
      </c>
    </row>
    <row r="60" spans="1:17">
      <c r="A60" t="s">
        <v>15</v>
      </c>
      <c r="C60" s="11"/>
      <c r="D60" s="6"/>
      <c r="F60" s="11"/>
      <c r="G60" s="6"/>
      <c r="I60" s="11"/>
      <c r="J60" s="6"/>
      <c r="L60" s="11"/>
      <c r="M60" s="6"/>
      <c r="O60" s="6"/>
      <c r="P60" s="11"/>
    </row>
    <row r="61" spans="1:17">
      <c r="A61">
        <v>4530</v>
      </c>
      <c r="B61" t="s">
        <v>46</v>
      </c>
      <c r="C61" s="11"/>
      <c r="D61" s="6">
        <f>'Cost Allocations-Contracts'!F61</f>
        <v>65321.623778071342</v>
      </c>
      <c r="F61" s="425">
        <f>+F26</f>
        <v>0.96716362118108468</v>
      </c>
      <c r="G61" s="6">
        <f>+D61*F61</f>
        <v>63176.698194627927</v>
      </c>
      <c r="I61" s="11">
        <f>+I26</f>
        <v>3.2836378818915317E-2</v>
      </c>
      <c r="J61" s="6">
        <f>+D61*I61</f>
        <v>2144.9255834434171</v>
      </c>
      <c r="L61" s="11">
        <f>+L26</f>
        <v>0</v>
      </c>
      <c r="M61" s="6">
        <f>+D61*L61</f>
        <v>0</v>
      </c>
      <c r="O61" s="6">
        <f t="shared" si="8"/>
        <v>65321.623778071342</v>
      </c>
      <c r="P61" s="11">
        <f>+F61+I61+L61</f>
        <v>1</v>
      </c>
      <c r="Q61" t="str">
        <f t="shared" si="10"/>
        <v xml:space="preserve"> </v>
      </c>
    </row>
    <row r="62" spans="1:17">
      <c r="A62">
        <v>4540</v>
      </c>
      <c r="B62" t="s">
        <v>47</v>
      </c>
      <c r="C62" s="11"/>
      <c r="D62" s="6">
        <f>'Cost Allocations-Contracts'!F62</f>
        <v>17884.951459248416</v>
      </c>
      <c r="F62" s="425">
        <f>+F26</f>
        <v>0.96716362118108468</v>
      </c>
      <c r="G62" s="6">
        <f>+D62*F62</f>
        <v>17297.674417974624</v>
      </c>
      <c r="I62" s="11">
        <f>+I26</f>
        <v>3.2836378818915317E-2</v>
      </c>
      <c r="J62" s="6">
        <f>+D62*I62</f>
        <v>587.27704127379332</v>
      </c>
      <c r="L62" s="11">
        <f>+L26</f>
        <v>0</v>
      </c>
      <c r="M62" s="6">
        <f>+D62*L62</f>
        <v>0</v>
      </c>
      <c r="O62" s="6">
        <f t="shared" si="8"/>
        <v>17884.951459248416</v>
      </c>
      <c r="P62" s="11">
        <f>+F62+I62+L62</f>
        <v>1</v>
      </c>
      <c r="Q62" t="str">
        <f t="shared" si="10"/>
        <v xml:space="preserve"> </v>
      </c>
    </row>
    <row r="63" spans="1:17">
      <c r="A63">
        <v>4580</v>
      </c>
      <c r="B63" t="s">
        <v>48</v>
      </c>
      <c r="C63" s="11"/>
      <c r="D63" s="6">
        <f>'Cost Allocations-Contracts'!F63</f>
        <v>0</v>
      </c>
      <c r="F63" s="425">
        <f>+F26</f>
        <v>0.96716362118108468</v>
      </c>
      <c r="G63" s="6">
        <f>+D63*F63</f>
        <v>0</v>
      </c>
      <c r="I63" s="11">
        <f>+I26</f>
        <v>3.2836378818915317E-2</v>
      </c>
      <c r="J63" s="6">
        <f>+D63*I63</f>
        <v>0</v>
      </c>
      <c r="L63" s="11">
        <f>+L26</f>
        <v>0</v>
      </c>
      <c r="M63" s="6">
        <f>+D63*L63</f>
        <v>0</v>
      </c>
      <c r="O63" s="6">
        <f t="shared" si="8"/>
        <v>0</v>
      </c>
      <c r="P63" s="11">
        <f>+F63+I63+L63</f>
        <v>1</v>
      </c>
      <c r="Q63" t="str">
        <f t="shared" si="10"/>
        <v xml:space="preserve"> </v>
      </c>
    </row>
    <row r="64" spans="1:17">
      <c r="A64" t="s">
        <v>18</v>
      </c>
      <c r="C64" s="11"/>
      <c r="D64" s="6"/>
      <c r="F64" s="11"/>
      <c r="G64" s="6"/>
      <c r="I64" s="11"/>
      <c r="J64" s="6"/>
      <c r="L64" s="11"/>
      <c r="M64" s="6"/>
      <c r="O64" s="6"/>
      <c r="P64" s="11"/>
    </row>
    <row r="65" spans="1:17">
      <c r="A65">
        <v>4611</v>
      </c>
      <c r="B65" t="s">
        <v>49</v>
      </c>
      <c r="C65" s="15"/>
      <c r="D65" s="6">
        <f>'Cost Allocations-Contracts'!F65</f>
        <v>66114.726851313681</v>
      </c>
      <c r="F65" s="433">
        <f>'Hours &amp; Miles'!$I$47</f>
        <v>0.92742375833832935</v>
      </c>
      <c r="G65" s="6">
        <f t="shared" ref="G65:G84" si="20">+D65*F65</f>
        <v>61316.368457957396</v>
      </c>
      <c r="I65" s="433">
        <f>'Hours &amp; Miles'!$J$47</f>
        <v>2.3121607211350103E-2</v>
      </c>
      <c r="J65" s="6">
        <f t="shared" ref="J65:J84" si="21">+D65*I65</f>
        <v>1528.6787451417767</v>
      </c>
      <c r="L65" s="433">
        <f>'Hours &amp; Miles'!$K$47</f>
        <v>4.9454634450320681E-2</v>
      </c>
      <c r="M65" s="6">
        <f t="shared" ref="M65:M84" si="22">+D65*L65</f>
        <v>3269.6796482145191</v>
      </c>
      <c r="O65" s="6">
        <f t="shared" si="8"/>
        <v>66114.726851313695</v>
      </c>
      <c r="P65" s="11">
        <f t="shared" ref="P65:P84" si="23">+F65+I65+L65</f>
        <v>1.0000000000000002</v>
      </c>
      <c r="Q65" t="str">
        <f t="shared" si="10"/>
        <v xml:space="preserve"> </v>
      </c>
    </row>
    <row r="66" spans="1:17">
      <c r="A66">
        <v>4612</v>
      </c>
      <c r="B66" t="s">
        <v>50</v>
      </c>
      <c r="C66" s="15"/>
      <c r="D66" s="6">
        <f>'Cost Allocations-Contracts'!F66</f>
        <v>52772.84</v>
      </c>
      <c r="F66" s="433">
        <f>'Hours &amp; Miles'!$I$47</f>
        <v>0.92742375833832935</v>
      </c>
      <c r="G66" s="6">
        <f t="shared" si="20"/>
        <v>48942.785610987317</v>
      </c>
      <c r="I66" s="433">
        <f>'Hours &amp; Miles'!$J$47</f>
        <v>2.3121607211350103E-2</v>
      </c>
      <c r="J66" s="6">
        <f t="shared" si="21"/>
        <v>1220.1928779074251</v>
      </c>
      <c r="L66" s="433">
        <f>'Hours &amp; Miles'!$K$47</f>
        <v>4.9454634450320681E-2</v>
      </c>
      <c r="M66" s="6">
        <f t="shared" si="22"/>
        <v>2609.8615111052609</v>
      </c>
      <c r="O66" s="6">
        <f t="shared" si="8"/>
        <v>52772.840000000004</v>
      </c>
      <c r="P66" s="11">
        <f t="shared" si="23"/>
        <v>1.0000000000000002</v>
      </c>
      <c r="Q66" t="str">
        <f t="shared" si="10"/>
        <v xml:space="preserve"> </v>
      </c>
    </row>
    <row r="67" spans="1:17">
      <c r="A67">
        <v>4613</v>
      </c>
      <c r="B67" t="s">
        <v>51</v>
      </c>
      <c r="C67" s="26"/>
      <c r="D67" s="6">
        <f>'Cost Allocations-Contracts'!F67</f>
        <v>111912.94909727575</v>
      </c>
      <c r="F67" s="433">
        <f>'Hours &amp; Miles'!$I$47</f>
        <v>0.92742375833832935</v>
      </c>
      <c r="G67" s="6">
        <f t="shared" si="20"/>
        <v>103790.72785852161</v>
      </c>
      <c r="I67" s="433">
        <f>'Hours &amp; Miles'!$J$47</f>
        <v>2.3121607211350103E-2</v>
      </c>
      <c r="J67" s="6">
        <f t="shared" si="21"/>
        <v>2587.6072508910279</v>
      </c>
      <c r="L67" s="433">
        <f>'Hours &amp; Miles'!$K$47</f>
        <v>4.9454634450320681E-2</v>
      </c>
      <c r="M67" s="6">
        <f t="shared" si="22"/>
        <v>5534.6139878631184</v>
      </c>
      <c r="O67" s="6">
        <f t="shared" si="8"/>
        <v>111912.94909727576</v>
      </c>
      <c r="P67" s="11">
        <f t="shared" si="23"/>
        <v>1.0000000000000002</v>
      </c>
      <c r="Q67" t="str">
        <f t="shared" si="10"/>
        <v xml:space="preserve"> </v>
      </c>
    </row>
    <row r="68" spans="1:17">
      <c r="A68">
        <v>4620</v>
      </c>
      <c r="B68" t="s">
        <v>52</v>
      </c>
      <c r="C68" s="26"/>
      <c r="D68" s="6">
        <f>'Cost Allocations-Contracts'!F68</f>
        <v>41752.990961826777</v>
      </c>
      <c r="F68" s="433">
        <f>'Hours &amp; Miles'!$I$47</f>
        <v>0.92742375833832935</v>
      </c>
      <c r="G68" s="6">
        <f t="shared" si="20"/>
        <v>38722.71579968369</v>
      </c>
      <c r="I68" s="433">
        <f>'Hours &amp; Miles'!$J$47</f>
        <v>2.3121607211350103E-2</v>
      </c>
      <c r="J68" s="6">
        <f t="shared" si="21"/>
        <v>965.39625691840968</v>
      </c>
      <c r="L68" s="433">
        <f>'Hours &amp; Miles'!$K$47</f>
        <v>4.9454634450320681E-2</v>
      </c>
      <c r="M68" s="6">
        <f t="shared" si="22"/>
        <v>2064.8789052246866</v>
      </c>
      <c r="O68" s="6">
        <f t="shared" si="8"/>
        <v>41752.990961826785</v>
      </c>
      <c r="P68" s="11">
        <f t="shared" si="23"/>
        <v>1.0000000000000002</v>
      </c>
      <c r="Q68" t="str">
        <f t="shared" si="10"/>
        <v xml:space="preserve"> </v>
      </c>
    </row>
    <row r="69" spans="1:17">
      <c r="A69">
        <v>4622</v>
      </c>
      <c r="B69" t="s">
        <v>53</v>
      </c>
      <c r="C69" s="26"/>
      <c r="D69" s="6">
        <f>'Cost Allocations-Contracts'!F69</f>
        <v>0</v>
      </c>
      <c r="F69" s="433">
        <f>'Hours &amp; Miles'!$I$47</f>
        <v>0.92742375833832935</v>
      </c>
      <c r="G69" s="6">
        <f t="shared" si="20"/>
        <v>0</v>
      </c>
      <c r="I69" s="433">
        <f>'Hours &amp; Miles'!$J$47</f>
        <v>2.3121607211350103E-2</v>
      </c>
      <c r="J69" s="6">
        <f t="shared" si="21"/>
        <v>0</v>
      </c>
      <c r="L69" s="433">
        <f>'Hours &amp; Miles'!$K$47</f>
        <v>4.9454634450320681E-2</v>
      </c>
      <c r="M69" s="6">
        <f t="shared" si="22"/>
        <v>0</v>
      </c>
      <c r="O69" s="6">
        <f t="shared" si="8"/>
        <v>0</v>
      </c>
      <c r="P69" s="11">
        <f t="shared" si="23"/>
        <v>1.0000000000000002</v>
      </c>
      <c r="Q69" t="str">
        <f t="shared" si="10"/>
        <v xml:space="preserve"> </v>
      </c>
    </row>
    <row r="70" spans="1:17">
      <c r="A70">
        <v>4624</v>
      </c>
      <c r="B70" t="s">
        <v>54</v>
      </c>
      <c r="C70" s="26"/>
      <c r="D70" s="6">
        <f>'Cost Allocations-Contracts'!F70</f>
        <v>800.17758604552159</v>
      </c>
      <c r="F70" s="433">
        <f>'Hours &amp; Miles'!$I$47</f>
        <v>0.92742375833832935</v>
      </c>
      <c r="G70" s="6">
        <f t="shared" si="20"/>
        <v>742.10370418842956</v>
      </c>
      <c r="I70" s="433">
        <f>'Hours &amp; Miles'!$J$47</f>
        <v>2.3121607211350103E-2</v>
      </c>
      <c r="J70" s="6">
        <f t="shared" si="21"/>
        <v>18.501391843870849</v>
      </c>
      <c r="L70" s="433">
        <f>'Hours &amp; Miles'!$K$47</f>
        <v>4.9454634450320681E-2</v>
      </c>
      <c r="M70" s="6">
        <f t="shared" si="22"/>
        <v>39.572490013221291</v>
      </c>
      <c r="O70" s="6">
        <f t="shared" si="8"/>
        <v>800.17758604552171</v>
      </c>
      <c r="P70" s="11">
        <f t="shared" si="23"/>
        <v>1.0000000000000002</v>
      </c>
      <c r="Q70" t="str">
        <f t="shared" si="10"/>
        <v xml:space="preserve"> </v>
      </c>
    </row>
    <row r="71" spans="1:17">
      <c r="A71">
        <v>4625</v>
      </c>
      <c r="B71" t="s">
        <v>55</v>
      </c>
      <c r="C71" s="26"/>
      <c r="D71" s="6">
        <f>'Cost Allocations-Contracts'!F71</f>
        <v>2643.4096837428292</v>
      </c>
      <c r="F71" s="433">
        <f>'Hours &amp; Miles'!$I$47</f>
        <v>0.92742375833832935</v>
      </c>
      <c r="G71" s="6">
        <f t="shared" si="20"/>
        <v>2451.5609437247094</v>
      </c>
      <c r="I71" s="433">
        <f>'Hours &amp; Miles'!$J$47</f>
        <v>2.3121607211350103E-2</v>
      </c>
      <c r="J71" s="6">
        <f t="shared" si="21"/>
        <v>61.119880406180897</v>
      </c>
      <c r="L71" s="433">
        <f>'Hours &amp; Miles'!$K$47</f>
        <v>4.9454634450320681E-2</v>
      </c>
      <c r="M71" s="6">
        <f t="shared" si="22"/>
        <v>130.72885961193941</v>
      </c>
      <c r="O71" s="6">
        <f t="shared" si="8"/>
        <v>2643.4096837428297</v>
      </c>
      <c r="P71" s="11">
        <f t="shared" si="23"/>
        <v>1.0000000000000002</v>
      </c>
      <c r="Q71" t="str">
        <f t="shared" si="10"/>
        <v xml:space="preserve"> </v>
      </c>
    </row>
    <row r="72" spans="1:17">
      <c r="A72">
        <v>4627</v>
      </c>
      <c r="B72" t="s">
        <v>56</v>
      </c>
      <c r="C72" s="26"/>
      <c r="D72" s="6">
        <f>'Cost Allocations-Contracts'!F72</f>
        <v>619.44678194181336</v>
      </c>
      <c r="F72" s="433">
        <f>'Hours &amp; Miles'!$I$47</f>
        <v>0.92742375833832935</v>
      </c>
      <c r="G72" s="6">
        <f t="shared" si="20"/>
        <v>574.48966259906013</v>
      </c>
      <c r="I72" s="433">
        <f>'Hours &amp; Miles'!$J$47</f>
        <v>2.3121607211350103E-2</v>
      </c>
      <c r="J72" s="6">
        <f t="shared" si="21"/>
        <v>14.322605180393447</v>
      </c>
      <c r="L72" s="433">
        <f>'Hours &amp; Miles'!$K$47</f>
        <v>4.9454634450320681E-2</v>
      </c>
      <c r="M72" s="6">
        <f t="shared" si="22"/>
        <v>30.634514162359885</v>
      </c>
      <c r="O72" s="6">
        <f t="shared" si="8"/>
        <v>619.44678194181347</v>
      </c>
      <c r="P72" s="11">
        <f t="shared" si="23"/>
        <v>1.0000000000000002</v>
      </c>
      <c r="Q72" t="str">
        <f t="shared" si="10"/>
        <v xml:space="preserve"> </v>
      </c>
    </row>
    <row r="73" spans="1:17">
      <c r="A73">
        <v>4628</v>
      </c>
      <c r="B73" s="643" t="s">
        <v>1312</v>
      </c>
      <c r="C73" s="26"/>
      <c r="D73" s="6">
        <f>'Cost Allocations-Contracts'!F73</f>
        <v>22633.739999999998</v>
      </c>
      <c r="F73" s="423">
        <f>1-I73</f>
        <v>0.97687839278864985</v>
      </c>
      <c r="G73" s="6">
        <f t="shared" ref="G73" si="24">+D73*F73</f>
        <v>22110.411553996175</v>
      </c>
      <c r="I73" s="433">
        <f>'Hours &amp; Miles'!$J$47</f>
        <v>2.3121607211350103E-2</v>
      </c>
      <c r="J73" s="6">
        <f t="shared" ref="J73" si="25">+D73*I73</f>
        <v>523.32844600382327</v>
      </c>
      <c r="L73" s="423">
        <v>0</v>
      </c>
      <c r="M73" s="6">
        <f t="shared" ref="M73" si="26">+D73*L73</f>
        <v>0</v>
      </c>
      <c r="O73" s="6">
        <f t="shared" ref="O73" si="27">+G73+J73+M73</f>
        <v>22633.739999999998</v>
      </c>
      <c r="P73" s="11">
        <f t="shared" ref="P73" si="28">+F73+I73+L73</f>
        <v>1</v>
      </c>
      <c r="Q73" s="643" t="s">
        <v>1429</v>
      </c>
    </row>
    <row r="74" spans="1:17">
      <c r="A74">
        <v>4630</v>
      </c>
      <c r="B74" t="s">
        <v>57</v>
      </c>
      <c r="C74" s="11"/>
      <c r="D74" s="6">
        <f>'Cost Allocations-Contracts'!F74</f>
        <v>451.95614058515207</v>
      </c>
      <c r="F74" s="433">
        <f>'Hours &amp; Miles'!$I$47</f>
        <v>0.92742375833832935</v>
      </c>
      <c r="G74" s="6">
        <f t="shared" si="20"/>
        <v>419.15486250556808</v>
      </c>
      <c r="I74" s="433">
        <f>'Hours &amp; Miles'!$J$47</f>
        <v>2.3121607211350103E-2</v>
      </c>
      <c r="J74" s="6">
        <f t="shared" si="21"/>
        <v>10.449952359367613</v>
      </c>
      <c r="L74" s="433">
        <f>'Hours &amp; Miles'!$K$47</f>
        <v>4.9454634450320681E-2</v>
      </c>
      <c r="M74" s="6">
        <f t="shared" si="22"/>
        <v>22.351325720216437</v>
      </c>
      <c r="O74" s="6">
        <f t="shared" si="8"/>
        <v>451.95614058515213</v>
      </c>
      <c r="P74" s="11">
        <f t="shared" si="23"/>
        <v>1.0000000000000002</v>
      </c>
      <c r="Q74" t="str">
        <f t="shared" si="10"/>
        <v xml:space="preserve"> </v>
      </c>
    </row>
    <row r="75" spans="1:17">
      <c r="A75">
        <v>4640</v>
      </c>
      <c r="B75" t="s">
        <v>58</v>
      </c>
      <c r="C75" s="26"/>
      <c r="D75" s="6">
        <f>'Cost Allocations-Contracts'!F75</f>
        <v>13158.492120271096</v>
      </c>
      <c r="F75" s="433">
        <f>'Hours &amp; Miles'!$I$47</f>
        <v>0.92742375833832935</v>
      </c>
      <c r="G75" s="6">
        <f t="shared" si="20"/>
        <v>12203.498216247111</v>
      </c>
      <c r="I75" s="433">
        <f>'Hours &amp; Miles'!$J$47</f>
        <v>2.3121607211350103E-2</v>
      </c>
      <c r="J75" s="6">
        <f t="shared" si="21"/>
        <v>304.24548629855366</v>
      </c>
      <c r="L75" s="433">
        <f>'Hours &amp; Miles'!$K$47</f>
        <v>4.9454634450320681E-2</v>
      </c>
      <c r="M75" s="6">
        <f t="shared" si="22"/>
        <v>650.7484177254322</v>
      </c>
      <c r="O75" s="6">
        <f t="shared" si="8"/>
        <v>13158.492120271098</v>
      </c>
      <c r="P75" s="11">
        <f t="shared" si="23"/>
        <v>1.0000000000000002</v>
      </c>
      <c r="Q75" t="str">
        <f t="shared" si="10"/>
        <v xml:space="preserve"> </v>
      </c>
    </row>
    <row r="76" spans="1:17">
      <c r="A76">
        <v>4642</v>
      </c>
      <c r="B76" t="s">
        <v>1401</v>
      </c>
      <c r="C76" s="26"/>
      <c r="D76" s="6">
        <f>'Cost Allocations-Contracts'!F76</f>
        <v>953.68</v>
      </c>
      <c r="F76" s="423">
        <v>0</v>
      </c>
      <c r="G76" s="6">
        <f t="shared" ref="G76" si="29">+D76*F76</f>
        <v>0</v>
      </c>
      <c r="I76" s="703">
        <f>+J18/(J18+M17)</f>
        <v>0.38085915760652272</v>
      </c>
      <c r="J76" s="6">
        <f t="shared" ref="J76" si="30">+D76*I76</f>
        <v>363.21776142618859</v>
      </c>
      <c r="L76" s="703">
        <f>M17/(J18+M17)</f>
        <v>0.61914084239347733</v>
      </c>
      <c r="M76" s="6">
        <f t="shared" ref="M76" si="31">+D76*L76</f>
        <v>590.46223857381142</v>
      </c>
      <c r="O76" s="6">
        <f t="shared" ref="O76" si="32">+G76+J76+M76</f>
        <v>953.68000000000006</v>
      </c>
      <c r="P76" s="11">
        <f t="shared" ref="P76" si="33">+F76+I76+L76</f>
        <v>1</v>
      </c>
      <c r="Q76" t="str">
        <f t="shared" ref="Q76" si="34">IF(P76&lt;&gt;1,"ERR"," ")</f>
        <v xml:space="preserve"> </v>
      </c>
    </row>
    <row r="77" spans="1:17">
      <c r="A77">
        <v>4650</v>
      </c>
      <c r="B77" t="s">
        <v>59</v>
      </c>
      <c r="C77" s="26" t="s">
        <v>150</v>
      </c>
      <c r="D77" s="6">
        <f>'Cost Allocations-Contracts'!F77</f>
        <v>90093.711846199512</v>
      </c>
      <c r="F77" s="433">
        <f>'Hours &amp; Miles'!$I$47</f>
        <v>0.92742375833832935</v>
      </c>
      <c r="G77" s="6">
        <f t="shared" si="20"/>
        <v>83555.04884305282</v>
      </c>
      <c r="I77" s="433">
        <f>'Hours &amp; Miles'!$J$47</f>
        <v>2.3121607211350103E-2</v>
      </c>
      <c r="J77" s="6">
        <f t="shared" si="21"/>
        <v>2083.1114175203847</v>
      </c>
      <c r="L77" s="433">
        <f>'Hours &amp; Miles'!$K$47</f>
        <v>4.9454634450320681E-2</v>
      </c>
      <c r="M77" s="6">
        <f t="shared" si="22"/>
        <v>4455.5515856263228</v>
      </c>
      <c r="O77" s="6">
        <f t="shared" si="8"/>
        <v>90093.711846199527</v>
      </c>
      <c r="P77" s="11">
        <f t="shared" si="23"/>
        <v>1.0000000000000002</v>
      </c>
      <c r="Q77" t="str">
        <f t="shared" si="10"/>
        <v xml:space="preserve"> </v>
      </c>
    </row>
    <row r="78" spans="1:17">
      <c r="A78">
        <v>4652</v>
      </c>
      <c r="B78" t="s">
        <v>60</v>
      </c>
      <c r="C78" s="26" t="s">
        <v>150</v>
      </c>
      <c r="D78" s="6">
        <f>'Cost Allocations-Contracts'!F78</f>
        <v>9196.7048527203951</v>
      </c>
      <c r="F78" s="433">
        <f>'Hours &amp; Miles'!$I$47</f>
        <v>0.92742375833832935</v>
      </c>
      <c r="G78" s="6">
        <f t="shared" si="20"/>
        <v>8529.2425788383007</v>
      </c>
      <c r="I78" s="433">
        <f>'Hours &amp; Miles'!$J$47</f>
        <v>2.3121607211350103E-2</v>
      </c>
      <c r="J78" s="6">
        <f t="shared" si="21"/>
        <v>212.64259724331836</v>
      </c>
      <c r="L78" s="433">
        <f>'Hours &amp; Miles'!$K$47</f>
        <v>4.9454634450320681E-2</v>
      </c>
      <c r="M78" s="6">
        <f t="shared" si="22"/>
        <v>454.81967663877742</v>
      </c>
      <c r="O78" s="6">
        <f t="shared" si="8"/>
        <v>9196.704852720397</v>
      </c>
      <c r="P78" s="11">
        <f t="shared" si="23"/>
        <v>1.0000000000000002</v>
      </c>
      <c r="Q78" t="str">
        <f t="shared" si="10"/>
        <v xml:space="preserve"> </v>
      </c>
    </row>
    <row r="79" spans="1:17">
      <c r="A79">
        <v>4660</v>
      </c>
      <c r="B79" t="s">
        <v>61</v>
      </c>
      <c r="C79" s="15"/>
      <c r="D79" s="6">
        <f>'Cost Allocations-Contracts'!F79</f>
        <v>0</v>
      </c>
      <c r="F79" s="433">
        <f>'Hours &amp; Miles'!$I$47</f>
        <v>0.92742375833832935</v>
      </c>
      <c r="G79" s="6">
        <f t="shared" si="20"/>
        <v>0</v>
      </c>
      <c r="I79" s="433">
        <f>'Hours &amp; Miles'!$J$47</f>
        <v>2.3121607211350103E-2</v>
      </c>
      <c r="J79" s="6">
        <f t="shared" si="21"/>
        <v>0</v>
      </c>
      <c r="L79" s="433">
        <f>'Hours &amp; Miles'!$K$47</f>
        <v>4.9454634450320681E-2</v>
      </c>
      <c r="M79" s="6">
        <f t="shared" si="22"/>
        <v>0</v>
      </c>
      <c r="O79" s="6">
        <f t="shared" si="8"/>
        <v>0</v>
      </c>
      <c r="P79" s="11">
        <f t="shared" si="23"/>
        <v>1.0000000000000002</v>
      </c>
      <c r="Q79" t="str">
        <f t="shared" si="10"/>
        <v xml:space="preserve"> </v>
      </c>
    </row>
    <row r="80" spans="1:17">
      <c r="A80">
        <v>4670</v>
      </c>
      <c r="B80" t="s">
        <v>62</v>
      </c>
      <c r="C80" s="15"/>
      <c r="D80" s="6">
        <f>'Cost Allocations-Contracts'!F80</f>
        <v>0</v>
      </c>
      <c r="F80" s="433">
        <f>'Hours &amp; Miles'!$I$47</f>
        <v>0.92742375833832935</v>
      </c>
      <c r="G80" s="6">
        <f t="shared" si="20"/>
        <v>0</v>
      </c>
      <c r="I80" s="433">
        <f>'Hours &amp; Miles'!$J$47</f>
        <v>2.3121607211350103E-2</v>
      </c>
      <c r="J80" s="6">
        <f t="shared" si="21"/>
        <v>0</v>
      </c>
      <c r="L80" s="433">
        <f>'Hours &amp; Miles'!$K$47</f>
        <v>4.9454634450320681E-2</v>
      </c>
      <c r="M80" s="6">
        <f t="shared" si="22"/>
        <v>0</v>
      </c>
      <c r="O80" s="6">
        <f t="shared" si="8"/>
        <v>0</v>
      </c>
      <c r="P80" s="11">
        <f t="shared" si="23"/>
        <v>1.0000000000000002</v>
      </c>
      <c r="Q80" t="str">
        <f t="shared" si="10"/>
        <v xml:space="preserve"> </v>
      </c>
    </row>
    <row r="81" spans="1:17">
      <c r="A81">
        <v>4680</v>
      </c>
      <c r="B81" t="s">
        <v>63</v>
      </c>
      <c r="C81" s="15"/>
      <c r="D81" s="6">
        <f>'Cost Allocations-Contracts'!F81</f>
        <v>13958.2</v>
      </c>
      <c r="F81" s="433">
        <f>'Hours &amp; Miles'!$I$47</f>
        <v>0.92742375833832935</v>
      </c>
      <c r="G81" s="6">
        <f t="shared" si="20"/>
        <v>12945.166303638069</v>
      </c>
      <c r="I81" s="433">
        <f>'Hours &amp; Miles'!$J$47</f>
        <v>2.3121607211350103E-2</v>
      </c>
      <c r="J81" s="6">
        <f t="shared" si="21"/>
        <v>322.736017777467</v>
      </c>
      <c r="L81" s="433">
        <f>'Hours &amp; Miles'!$K$47</f>
        <v>4.9454634450320681E-2</v>
      </c>
      <c r="M81" s="6">
        <f t="shared" si="22"/>
        <v>690.29767858446621</v>
      </c>
      <c r="O81" s="6">
        <f t="shared" si="8"/>
        <v>13958.2</v>
      </c>
      <c r="P81" s="11">
        <f t="shared" si="23"/>
        <v>1.0000000000000002</v>
      </c>
      <c r="Q81" t="str">
        <f t="shared" si="10"/>
        <v xml:space="preserve"> </v>
      </c>
    </row>
    <row r="82" spans="1:17">
      <c r="A82">
        <v>4692</v>
      </c>
      <c r="B82" t="s">
        <v>64</v>
      </c>
      <c r="C82" s="26"/>
      <c r="D82" s="6">
        <f>'Cost Allocations-Contracts'!F82</f>
        <v>9989.108793147856</v>
      </c>
      <c r="F82" s="425">
        <f>F75</f>
        <v>0.92742375833832935</v>
      </c>
      <c r="G82" s="6">
        <f t="shared" si="20"/>
        <v>9264.1368193916387</v>
      </c>
      <c r="I82" s="11">
        <f>I75</f>
        <v>2.3121607211350103E-2</v>
      </c>
      <c r="J82" s="6">
        <f t="shared" si="21"/>
        <v>230.96424990660819</v>
      </c>
      <c r="L82" s="11">
        <f>L75</f>
        <v>4.9454634450320681E-2</v>
      </c>
      <c r="M82" s="6">
        <f t="shared" si="22"/>
        <v>494.00772384961118</v>
      </c>
      <c r="O82" s="6">
        <f t="shared" si="8"/>
        <v>9989.1087931478578</v>
      </c>
      <c r="P82" s="11">
        <f t="shared" si="23"/>
        <v>1.0000000000000002</v>
      </c>
      <c r="Q82" t="str">
        <f t="shared" si="10"/>
        <v xml:space="preserve"> </v>
      </c>
    </row>
    <row r="83" spans="1:17">
      <c r="A83">
        <v>4694</v>
      </c>
      <c r="B83" t="s">
        <v>65</v>
      </c>
      <c r="C83" s="11"/>
      <c r="D83" s="6">
        <f>'Cost Allocations-Contracts'!F83</f>
        <v>0</v>
      </c>
      <c r="F83" s="425">
        <f>+$F$65</f>
        <v>0.92742375833832935</v>
      </c>
      <c r="G83" s="6">
        <f t="shared" si="20"/>
        <v>0</v>
      </c>
      <c r="I83" s="11">
        <f>+$I$65</f>
        <v>2.3121607211350103E-2</v>
      </c>
      <c r="J83" s="6">
        <f t="shared" si="21"/>
        <v>0</v>
      </c>
      <c r="L83" s="11">
        <f>+$L$65</f>
        <v>4.9454634450320681E-2</v>
      </c>
      <c r="M83" s="6">
        <f t="shared" si="22"/>
        <v>0</v>
      </c>
      <c r="O83" s="6">
        <f t="shared" si="8"/>
        <v>0</v>
      </c>
      <c r="P83" s="11">
        <f t="shared" si="23"/>
        <v>1.0000000000000002</v>
      </c>
      <c r="Q83" t="str">
        <f t="shared" si="10"/>
        <v xml:space="preserve"> </v>
      </c>
    </row>
    <row r="84" spans="1:17">
      <c r="A84">
        <v>4698</v>
      </c>
      <c r="B84" t="s">
        <v>66</v>
      </c>
      <c r="C84" s="11"/>
      <c r="D84" s="6">
        <f>'Cost Allocations-Contracts'!F84</f>
        <v>731.71268726316521</v>
      </c>
      <c r="F84" s="425">
        <f>+$F$65</f>
        <v>0.92742375833832935</v>
      </c>
      <c r="G84" s="6">
        <f t="shared" si="20"/>
        <v>678.60773044544328</v>
      </c>
      <c r="I84" s="11">
        <f>+$I$65</f>
        <v>2.3121607211350103E-2</v>
      </c>
      <c r="J84" s="6">
        <f t="shared" si="21"/>
        <v>16.918373346460363</v>
      </c>
      <c r="L84" s="11">
        <f>+$L$65</f>
        <v>4.9454634450320681E-2</v>
      </c>
      <c r="M84" s="6">
        <f t="shared" si="22"/>
        <v>36.186583471261656</v>
      </c>
      <c r="O84" s="6">
        <f t="shared" si="8"/>
        <v>731.71268726316532</v>
      </c>
      <c r="P84" s="11">
        <f t="shared" si="23"/>
        <v>1.0000000000000002</v>
      </c>
      <c r="Q84" t="str">
        <f t="shared" si="10"/>
        <v xml:space="preserve"> </v>
      </c>
    </row>
    <row r="85" spans="1:17">
      <c r="A85" t="s">
        <v>19</v>
      </c>
      <c r="C85" s="11"/>
      <c r="D85" s="6"/>
      <c r="F85" s="11"/>
      <c r="G85" s="6"/>
      <c r="I85" s="11"/>
      <c r="J85" s="6"/>
      <c r="L85" s="11"/>
      <c r="M85" s="6"/>
      <c r="O85" s="6"/>
      <c r="P85" s="11"/>
    </row>
    <row r="86" spans="1:17">
      <c r="A86">
        <v>5010</v>
      </c>
      <c r="B86" t="s">
        <v>67</v>
      </c>
      <c r="C86" s="26"/>
      <c r="D86" s="6">
        <f>'Cost Allocations-Contracts'!F86</f>
        <v>236613.13206397786</v>
      </c>
      <c r="F86" s="422">
        <f>'Depr Allocation'!$N$36</f>
        <v>0.94873055420923358</v>
      </c>
      <c r="G86" s="6">
        <f>+D86*F86</f>
        <v>224482.10791624029</v>
      </c>
      <c r="I86" s="27">
        <f>'Depr Allocation'!N40</f>
        <v>3.4687306940754475E-2</v>
      </c>
      <c r="J86" s="6">
        <f>+D86*I86</f>
        <v>8207.4723381164749</v>
      </c>
      <c r="L86" s="27">
        <f>'Depr Allocation'!N38</f>
        <v>1.6582138850011995E-2</v>
      </c>
      <c r="M86" s="6">
        <f>+D86*L86</f>
        <v>3923.5518096211058</v>
      </c>
      <c r="O86" s="6">
        <f t="shared" si="8"/>
        <v>236613.13206397786</v>
      </c>
      <c r="P86" s="11">
        <f>+F86+I86+L86</f>
        <v>1</v>
      </c>
      <c r="Q86" t="str">
        <f t="shared" si="10"/>
        <v xml:space="preserve"> </v>
      </c>
    </row>
    <row r="87" spans="1:17">
      <c r="A87">
        <v>5100</v>
      </c>
      <c r="B87" t="s">
        <v>68</v>
      </c>
      <c r="C87" s="26"/>
      <c r="D87" s="6">
        <f>'Cost Allocations-Contracts'!F87</f>
        <v>-6939.1609345199822</v>
      </c>
      <c r="F87" s="446">
        <f>'Depr Allocation'!$N$36</f>
        <v>0.94873055420923358</v>
      </c>
      <c r="G87" s="6">
        <f>+D87*F87</f>
        <v>-6583.3939991542056</v>
      </c>
      <c r="I87" s="433">
        <f>I86</f>
        <v>3.4687306940754475E-2</v>
      </c>
      <c r="J87" s="6">
        <f>+D87*I87</f>
        <v>-240.7008052469873</v>
      </c>
      <c r="L87" s="433">
        <f>L86</f>
        <v>1.6582138850011995E-2</v>
      </c>
      <c r="M87" s="6">
        <f>+D87*L87</f>
        <v>-115.06613011878933</v>
      </c>
      <c r="O87" s="6">
        <f t="shared" si="8"/>
        <v>-6939.1609345199822</v>
      </c>
      <c r="P87" s="11">
        <f>+F87+I87+L87</f>
        <v>1</v>
      </c>
      <c r="Q87" t="str">
        <f t="shared" si="10"/>
        <v xml:space="preserve"> </v>
      </c>
    </row>
    <row r="88" spans="1:17">
      <c r="A88" t="s">
        <v>20</v>
      </c>
      <c r="C88" s="11"/>
      <c r="D88" s="6"/>
      <c r="F88" s="11"/>
      <c r="G88" s="6"/>
      <c r="I88" s="11"/>
      <c r="J88" s="6"/>
      <c r="L88" s="11"/>
      <c r="M88" s="6"/>
      <c r="O88" s="6"/>
      <c r="P88" s="11"/>
    </row>
    <row r="89" spans="1:17">
      <c r="A89">
        <v>5151</v>
      </c>
      <c r="B89" t="s">
        <v>69</v>
      </c>
      <c r="C89" s="15"/>
      <c r="D89" s="6">
        <f>'Cost Allocations-Contracts'!F89</f>
        <v>0</v>
      </c>
      <c r="F89" s="423">
        <v>1</v>
      </c>
      <c r="G89" s="6">
        <f>+D89*F89</f>
        <v>0</v>
      </c>
      <c r="I89" s="15">
        <v>0</v>
      </c>
      <c r="J89" s="6">
        <f>+D89*I89</f>
        <v>0</v>
      </c>
      <c r="L89" s="15">
        <v>0</v>
      </c>
      <c r="M89" s="6">
        <f>+D89*L89</f>
        <v>0</v>
      </c>
      <c r="O89" s="6">
        <f t="shared" si="8"/>
        <v>0</v>
      </c>
      <c r="P89" s="11">
        <f>+F89+I89+L89</f>
        <v>1</v>
      </c>
      <c r="Q89" t="str">
        <f t="shared" si="10"/>
        <v xml:space="preserve"> </v>
      </c>
    </row>
    <row r="90" spans="1:17">
      <c r="A90" t="s">
        <v>21</v>
      </c>
      <c r="C90" s="11"/>
      <c r="D90" s="6"/>
      <c r="F90" s="11"/>
      <c r="G90" s="6"/>
      <c r="I90" s="11"/>
      <c r="J90" s="6"/>
      <c r="L90" s="11"/>
      <c r="M90" s="6"/>
      <c r="O90" s="6"/>
      <c r="P90" s="11"/>
    </row>
    <row r="91" spans="1:17">
      <c r="A91">
        <v>5220</v>
      </c>
      <c r="B91" t="s">
        <v>70</v>
      </c>
      <c r="C91" s="11"/>
      <c r="D91" s="6">
        <f>'Cost Allocations-Contracts'!F91</f>
        <v>4965.2197543486345</v>
      </c>
      <c r="F91" s="425">
        <f>+F26</f>
        <v>0.96716362118108468</v>
      </c>
      <c r="G91" s="6">
        <f t="shared" ref="G91:G98" si="35">+D91*F91</f>
        <v>4802.1799175756814</v>
      </c>
      <c r="I91" s="11">
        <f>+I26</f>
        <v>3.2836378818915317E-2</v>
      </c>
      <c r="J91" s="6">
        <f t="shared" ref="J91:J98" si="36">+D91*I91</f>
        <v>163.03983677295341</v>
      </c>
      <c r="L91" s="11">
        <f>+L26</f>
        <v>0</v>
      </c>
      <c r="M91" s="6">
        <f t="shared" ref="M91:M98" si="37">+D91*L91</f>
        <v>0</v>
      </c>
      <c r="O91" s="6">
        <f t="shared" si="8"/>
        <v>4965.2197543486345</v>
      </c>
      <c r="P91" s="11">
        <f t="shared" ref="P91:P98" si="38">+F91+I91+L91</f>
        <v>1</v>
      </c>
      <c r="Q91" t="str">
        <f t="shared" si="10"/>
        <v xml:space="preserve"> </v>
      </c>
    </row>
    <row r="92" spans="1:17">
      <c r="A92">
        <v>5230</v>
      </c>
      <c r="B92" t="s">
        <v>71</v>
      </c>
      <c r="C92" s="11"/>
      <c r="D92" s="6">
        <f>'Cost Allocations-Contracts'!F92</f>
        <v>2193.8839694656485</v>
      </c>
      <c r="F92" s="424">
        <f>+F28</f>
        <v>1</v>
      </c>
      <c r="G92" s="6">
        <f t="shared" si="35"/>
        <v>2193.8839694656485</v>
      </c>
      <c r="I92" s="88">
        <f>+I28</f>
        <v>0</v>
      </c>
      <c r="J92" s="6">
        <f t="shared" si="36"/>
        <v>0</v>
      </c>
      <c r="L92" s="88">
        <f>+L28</f>
        <v>0</v>
      </c>
      <c r="M92" s="6">
        <f t="shared" si="37"/>
        <v>0</v>
      </c>
      <c r="O92" s="6">
        <f t="shared" si="8"/>
        <v>2193.8839694656485</v>
      </c>
      <c r="P92" s="11">
        <f t="shared" si="38"/>
        <v>1</v>
      </c>
      <c r="Q92" t="str">
        <f t="shared" si="10"/>
        <v xml:space="preserve"> </v>
      </c>
    </row>
    <row r="93" spans="1:17">
      <c r="A93">
        <v>5240</v>
      </c>
      <c r="B93" t="s">
        <v>72</v>
      </c>
      <c r="C93" s="10">
        <v>7.6499999999999999E-2</v>
      </c>
      <c r="D93" s="6">
        <f>'Cost Allocations-Contracts'!F93</f>
        <v>48877.739591438003</v>
      </c>
      <c r="F93" s="425">
        <f>G93/D93</f>
        <v>0.93524533321316905</v>
      </c>
      <c r="G93" s="6">
        <f>D93-J93-M93</f>
        <v>45712.677850900938</v>
      </c>
      <c r="I93" s="11">
        <f>J93/D93</f>
        <v>2.4294711832444204E-2</v>
      </c>
      <c r="J93" s="6">
        <f>+J118*C93</f>
        <v>1187.4705983952354</v>
      </c>
      <c r="L93" s="11">
        <f>M93/D93</f>
        <v>4.0459954954386763E-2</v>
      </c>
      <c r="M93" s="6">
        <f>+M118*C93</f>
        <v>1977.5911421418282</v>
      </c>
      <c r="O93" s="6">
        <f t="shared" si="8"/>
        <v>48877.739591438003</v>
      </c>
      <c r="P93" s="11">
        <f t="shared" si="38"/>
        <v>1</v>
      </c>
      <c r="Q93" t="str">
        <f t="shared" si="10"/>
        <v xml:space="preserve"> </v>
      </c>
    </row>
    <row r="94" spans="1:17">
      <c r="A94">
        <v>5241</v>
      </c>
      <c r="B94" t="s">
        <v>73</v>
      </c>
      <c r="C94" s="11">
        <v>6.0000000000000001E-3</v>
      </c>
      <c r="D94" s="6">
        <f>'Cost Allocations-Contracts'!F94</f>
        <v>593.05370189607584</v>
      </c>
      <c r="F94" s="425">
        <f>G94/D94</f>
        <v>0.5814204755504393</v>
      </c>
      <c r="G94" s="6">
        <f>D94-J94-M94</f>
        <v>344.8135653833649</v>
      </c>
      <c r="I94" s="11">
        <f>J94/D94</f>
        <v>0.15704302763135694</v>
      </c>
      <c r="J94" s="6">
        <f>J118*C94</f>
        <v>93.134948893743953</v>
      </c>
      <c r="L94" s="11">
        <f>M94/D94</f>
        <v>0.26153649681820368</v>
      </c>
      <c r="M94" s="6">
        <f>M118*C94</f>
        <v>155.10518761896694</v>
      </c>
      <c r="O94" s="6">
        <f t="shared" si="8"/>
        <v>593.05370189607584</v>
      </c>
      <c r="P94" s="11">
        <f t="shared" si="38"/>
        <v>0.99999999999999989</v>
      </c>
      <c r="Q94" t="str">
        <f t="shared" si="10"/>
        <v xml:space="preserve"> </v>
      </c>
    </row>
    <row r="95" spans="1:17">
      <c r="A95">
        <v>5242</v>
      </c>
      <c r="B95" t="s">
        <v>74</v>
      </c>
      <c r="C95" s="101">
        <v>1.2999999999999999E-3</v>
      </c>
      <c r="D95" s="6">
        <f>'Cost Allocations-Contracts'!F95</f>
        <v>5092.434514056431</v>
      </c>
      <c r="F95" s="425">
        <f>G95/D95</f>
        <v>0.98943818270757822</v>
      </c>
      <c r="G95" s="6">
        <f>D95-J95-M95</f>
        <v>5038.6491511453441</v>
      </c>
      <c r="I95" s="11">
        <f>J95/D95</f>
        <v>3.9625917370715242E-3</v>
      </c>
      <c r="J95" s="6">
        <f>J118*C95</f>
        <v>20.179238926977856</v>
      </c>
      <c r="L95" s="11">
        <f>M95/D95</f>
        <v>6.5992255553503805E-3</v>
      </c>
      <c r="M95" s="6">
        <f>M118*C95</f>
        <v>33.606123984109495</v>
      </c>
      <c r="O95" s="6">
        <f t="shared" si="8"/>
        <v>5092.434514056431</v>
      </c>
      <c r="P95" s="11">
        <f t="shared" si="38"/>
        <v>1</v>
      </c>
      <c r="Q95" t="str">
        <f t="shared" si="10"/>
        <v xml:space="preserve"> </v>
      </c>
    </row>
    <row r="96" spans="1:17">
      <c r="A96">
        <v>5260</v>
      </c>
      <c r="B96" t="s">
        <v>75</v>
      </c>
      <c r="C96" s="11"/>
      <c r="D96" s="6">
        <f>'Cost Allocations-Contracts'!F96</f>
        <v>48702.38299145153</v>
      </c>
      <c r="F96" s="425">
        <f>+F22</f>
        <v>0.95479906071628406</v>
      </c>
      <c r="G96" s="6">
        <f t="shared" si="35"/>
        <v>46500.989534882647</v>
      </c>
      <c r="I96" s="11">
        <f>+I22</f>
        <v>1.7215191658619632E-2</v>
      </c>
      <c r="J96" s="6">
        <f t="shared" si="36"/>
        <v>838.420857429335</v>
      </c>
      <c r="L96" s="11">
        <f>+L22</f>
        <v>2.7985747625096306E-2</v>
      </c>
      <c r="M96" s="6">
        <f t="shared" si="37"/>
        <v>1362.9725991395453</v>
      </c>
      <c r="O96" s="6">
        <f t="shared" si="8"/>
        <v>48702.38299145153</v>
      </c>
      <c r="P96" s="11">
        <f t="shared" si="38"/>
        <v>1</v>
      </c>
      <c r="Q96" t="str">
        <f t="shared" si="10"/>
        <v xml:space="preserve"> </v>
      </c>
    </row>
    <row r="97" spans="1:18">
      <c r="A97">
        <v>5270</v>
      </c>
      <c r="B97" t="s">
        <v>76</v>
      </c>
      <c r="C97" s="15"/>
      <c r="D97" s="6">
        <f>'Cost Allocations-Contracts'!F97</f>
        <v>7990.68</v>
      </c>
      <c r="F97" s="423">
        <v>1</v>
      </c>
      <c r="G97" s="6">
        <f t="shared" si="35"/>
        <v>7990.68</v>
      </c>
      <c r="I97" s="15">
        <v>0</v>
      </c>
      <c r="J97" s="6">
        <f t="shared" si="36"/>
        <v>0</v>
      </c>
      <c r="L97" s="15">
        <v>0</v>
      </c>
      <c r="M97" s="6">
        <f t="shared" si="37"/>
        <v>0</v>
      </c>
      <c r="O97" s="6">
        <f t="shared" si="8"/>
        <v>7990.68</v>
      </c>
      <c r="P97" s="11">
        <f t="shared" si="38"/>
        <v>1</v>
      </c>
      <c r="Q97" t="str">
        <f t="shared" si="10"/>
        <v xml:space="preserve"> </v>
      </c>
    </row>
    <row r="98" spans="1:18">
      <c r="A98">
        <v>5290</v>
      </c>
      <c r="B98" t="s">
        <v>77</v>
      </c>
      <c r="C98" s="11"/>
      <c r="D98" s="6">
        <f>'Cost Allocations-Contracts'!F98</f>
        <v>204.34655237741163</v>
      </c>
      <c r="F98" s="425">
        <f>+F26</f>
        <v>0.96716362118108468</v>
      </c>
      <c r="G98" s="6">
        <f t="shared" si="35"/>
        <v>197.63655157320761</v>
      </c>
      <c r="I98" s="11">
        <f>+I26</f>
        <v>3.2836378818915317E-2</v>
      </c>
      <c r="J98" s="6">
        <f t="shared" si="36"/>
        <v>6.7100008042040082</v>
      </c>
      <c r="L98" s="11">
        <f>+L26</f>
        <v>0</v>
      </c>
      <c r="M98" s="6">
        <f t="shared" si="37"/>
        <v>0</v>
      </c>
      <c r="O98" s="6">
        <f t="shared" si="8"/>
        <v>204.34655237741163</v>
      </c>
      <c r="P98" s="11">
        <f t="shared" si="38"/>
        <v>1</v>
      </c>
      <c r="Q98" t="str">
        <f t="shared" si="10"/>
        <v xml:space="preserve"> </v>
      </c>
    </row>
    <row r="99" spans="1:18">
      <c r="A99" t="s">
        <v>22</v>
      </c>
      <c r="C99" s="11"/>
      <c r="D99" s="6"/>
      <c r="F99" s="11"/>
      <c r="G99" s="6"/>
      <c r="I99" s="11"/>
      <c r="J99" s="6"/>
      <c r="L99" s="11"/>
      <c r="M99" s="6"/>
      <c r="O99" s="6"/>
      <c r="P99" s="11"/>
    </row>
    <row r="100" spans="1:18">
      <c r="A100">
        <v>5320</v>
      </c>
      <c r="B100" t="s">
        <v>78</v>
      </c>
      <c r="C100" s="11"/>
      <c r="D100" s="6">
        <f>'Cost Allocations-Contracts'!F100</f>
        <v>80019.480342230585</v>
      </c>
      <c r="F100" s="423">
        <v>1</v>
      </c>
      <c r="G100" s="6">
        <f>+D100*F100</f>
        <v>80019.480342230585</v>
      </c>
      <c r="I100" s="15">
        <v>0</v>
      </c>
      <c r="J100" s="6">
        <f>+D100*I100</f>
        <v>0</v>
      </c>
      <c r="L100" s="15">
        <v>0</v>
      </c>
      <c r="M100" s="6">
        <f>+D100*L100</f>
        <v>0</v>
      </c>
      <c r="O100" s="6">
        <f>+G100+J100+M100</f>
        <v>80019.480342230585</v>
      </c>
      <c r="P100" s="11">
        <f>+F100+I100+L100</f>
        <v>1</v>
      </c>
      <c r="Q100" t="str">
        <f>IF(P100&lt;&gt;1,"ERR"," ")</f>
        <v xml:space="preserve"> </v>
      </c>
    </row>
    <row r="101" spans="1:18" ht="13.5" thickBot="1">
      <c r="A101">
        <v>5322</v>
      </c>
      <c r="B101" s="83" t="s">
        <v>370</v>
      </c>
      <c r="C101" s="12"/>
      <c r="D101" s="7">
        <f>'Cost Allocations-Contracts'!F101</f>
        <v>29852</v>
      </c>
      <c r="E101" s="5"/>
      <c r="F101" s="427">
        <v>0</v>
      </c>
      <c r="G101" s="7">
        <f>+D101*F101</f>
        <v>0</v>
      </c>
      <c r="H101" s="5"/>
      <c r="I101" s="12">
        <f>J18/(J18+M17)</f>
        <v>0.38085915760652272</v>
      </c>
      <c r="J101" s="7">
        <f>+D101*I101</f>
        <v>11369.407572869917</v>
      </c>
      <c r="K101" s="5"/>
      <c r="L101" s="12">
        <f>M17/(J18+M17)</f>
        <v>0.61914084239347733</v>
      </c>
      <c r="M101" s="7">
        <f>+D101*L101</f>
        <v>18482.592427130086</v>
      </c>
      <c r="N101" s="5"/>
      <c r="O101" s="7">
        <f t="shared" si="8"/>
        <v>29852.000000000004</v>
      </c>
      <c r="P101" s="12">
        <f>+F101+I101+L101</f>
        <v>1</v>
      </c>
      <c r="Q101" t="str">
        <f>IF(P101&lt;&gt;1,"ERR"," ")</f>
        <v xml:space="preserve"> </v>
      </c>
      <c r="R101" s="83" t="s">
        <v>374</v>
      </c>
    </row>
    <row r="102" spans="1:18">
      <c r="C102" s="11"/>
      <c r="D102" s="6"/>
      <c r="F102" s="11"/>
      <c r="I102" s="11"/>
      <c r="L102" s="11"/>
      <c r="P102" s="11"/>
    </row>
    <row r="103" spans="1:18" ht="13.5" thickBot="1">
      <c r="B103" t="s">
        <v>23</v>
      </c>
      <c r="C103" s="12"/>
      <c r="D103" s="7">
        <f>SUM(D26:D101)</f>
        <v>2639551.4909430742</v>
      </c>
      <c r="E103" s="5"/>
      <c r="F103" s="12">
        <f>+G103/D103</f>
        <v>0.9496578353078301</v>
      </c>
      <c r="G103" s="7">
        <f>SUM(G26:G101)</f>
        <v>2506670.7550725555</v>
      </c>
      <c r="H103" s="5"/>
      <c r="I103" s="12">
        <f>+J103/D103</f>
        <v>1.9776259575758733E-2</v>
      </c>
      <c r="J103" s="7">
        <f>SUM(J26:J101)</f>
        <v>52200.455448471213</v>
      </c>
      <c r="K103" s="5"/>
      <c r="L103" s="12">
        <f>+M103/D103</f>
        <v>3.0565905116411596E-2</v>
      </c>
      <c r="M103" s="7">
        <f>SUM(M26:M101)</f>
        <v>80680.280422048774</v>
      </c>
      <c r="N103" s="5"/>
      <c r="O103" s="7">
        <f>SUM(O26:O101)</f>
        <v>2639551.4909430742</v>
      </c>
      <c r="P103" s="12">
        <f>+F103+I103+L103</f>
        <v>1.0000000000000004</v>
      </c>
    </row>
    <row r="104" spans="1:18">
      <c r="C104" s="11"/>
      <c r="D104" s="6"/>
      <c r="F104" s="11"/>
      <c r="G104" s="6"/>
      <c r="I104" s="11"/>
      <c r="J104" s="6"/>
      <c r="L104" s="11"/>
      <c r="M104" s="6"/>
      <c r="O104" s="6"/>
      <c r="P104" s="11"/>
    </row>
    <row r="105" spans="1:18" ht="13.5" thickBot="1">
      <c r="B105" t="s">
        <v>24</v>
      </c>
      <c r="C105" s="14"/>
      <c r="D105" s="8">
        <f>+D22-D103</f>
        <v>113319.40005692607</v>
      </c>
      <c r="E105" s="13"/>
      <c r="F105" s="14">
        <f>+G105/D105</f>
        <v>1.074553746898365</v>
      </c>
      <c r="G105" s="8">
        <f>+G22-G103</f>
        <v>121767.7859274447</v>
      </c>
      <c r="H105" s="13"/>
      <c r="I105" s="14">
        <f>+J105/D105</f>
        <v>-4.2439824478909031E-2</v>
      </c>
      <c r="J105" s="8">
        <f>+J22-J103</f>
        <v>-4809.2554484712164</v>
      </c>
      <c r="K105" s="13"/>
      <c r="L105" s="14">
        <f>+M105/D105</f>
        <v>-3.2113922419467859E-2</v>
      </c>
      <c r="M105" s="8">
        <f>+M22-M103</f>
        <v>-3639.1304220487655</v>
      </c>
      <c r="N105" s="13"/>
      <c r="O105" s="8">
        <f>+O22-O103</f>
        <v>113319.40005692607</v>
      </c>
      <c r="P105" s="14">
        <f>+F105+I105+L105</f>
        <v>0.99999999999998812</v>
      </c>
    </row>
    <row r="106" spans="1:18" ht="13.5" thickTop="1">
      <c r="C106" s="11"/>
      <c r="D106" s="6"/>
      <c r="F106" s="11"/>
      <c r="G106" s="6"/>
      <c r="I106" s="11"/>
      <c r="J106" s="6"/>
      <c r="L106" s="11"/>
      <c r="M106" s="6"/>
      <c r="O106" s="6"/>
      <c r="P106" s="11"/>
    </row>
    <row r="107" spans="1:18">
      <c r="B107" t="s">
        <v>102</v>
      </c>
      <c r="C107" s="11"/>
      <c r="D107" s="10">
        <f>+D103/D22</f>
        <v>0.95883591910270738</v>
      </c>
      <c r="F107" s="11"/>
      <c r="G107" s="10">
        <f>+G103/G22</f>
        <v>0.95367295676576191</v>
      </c>
      <c r="I107" s="11"/>
      <c r="J107" s="10">
        <f>+J103/J22</f>
        <v>1.1014799255657426</v>
      </c>
      <c r="L107" s="11"/>
      <c r="M107" s="10">
        <f>+M103/M22</f>
        <v>1.0472361902963385</v>
      </c>
      <c r="O107" s="10">
        <f>+O103/O22</f>
        <v>0.95883591910270738</v>
      </c>
      <c r="P107" s="11"/>
    </row>
    <row r="109" spans="1:18">
      <c r="J109" s="83" t="s">
        <v>326</v>
      </c>
    </row>
    <row r="118" spans="2:18">
      <c r="B118" s="83" t="s">
        <v>365</v>
      </c>
      <c r="D118" s="79">
        <f>+D26+D27+D28+D29+D30+D41+D42+D43+D44+D45+D65+D66+D67</f>
        <v>689318.73528358876</v>
      </c>
      <c r="G118" s="79">
        <f>+G26+G27+G28+G29+G30+G41+G42+G43+G44+G45+G65+G66+G67</f>
        <v>647945.37919813697</v>
      </c>
      <c r="J118" s="79">
        <f>+J26+J27+J28+J29+J30+J41+J42+J43+J44+J45+J65+J66+J67</f>
        <v>15522.491482290659</v>
      </c>
      <c r="M118" s="79">
        <f>+M26+M27+M28+M29+M30+M41+M42+M43+M44+M45+M65+M66+M67</f>
        <v>25850.864603161153</v>
      </c>
      <c r="R118" s="102">
        <f>SUM(G118+J118+M118)</f>
        <v>689318.73528358876</v>
      </c>
    </row>
  </sheetData>
  <mergeCells count="10">
    <mergeCell ref="C7:D7"/>
    <mergeCell ref="C8:D8"/>
    <mergeCell ref="I6:J6"/>
    <mergeCell ref="L6:M6"/>
    <mergeCell ref="F7:G7"/>
    <mergeCell ref="I7:J7"/>
    <mergeCell ref="L7:M7"/>
    <mergeCell ref="F8:G8"/>
    <mergeCell ref="I8:J8"/>
    <mergeCell ref="L8:M8"/>
  </mergeCells>
  <pageMargins left="0.7" right="0.7" top="0.75" bottom="0.75" header="0.3" footer="0.3"/>
  <pageSetup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6"/>
  <sheetViews>
    <sheetView topLeftCell="A82" workbookViewId="0">
      <selection activeCell="I114" sqref="I114"/>
    </sheetView>
  </sheetViews>
  <sheetFormatPr defaultRowHeight="12.75"/>
  <cols>
    <col min="1" max="1" width="6.5703125" customWidth="1"/>
    <col min="2" max="2" width="23.28515625" customWidth="1"/>
    <col min="4" max="4" width="12.7109375" customWidth="1"/>
    <col min="7" max="7" width="13" customWidth="1"/>
    <col min="9" max="9" width="12.28515625" bestFit="1" customWidth="1"/>
    <col min="10" max="10" width="13.5703125" customWidth="1"/>
    <col min="12" max="12" width="12" customWidth="1"/>
  </cols>
  <sheetData>
    <row r="1" spans="1:14">
      <c r="A1" t="s">
        <v>0</v>
      </c>
    </row>
    <row r="3" spans="1:14">
      <c r="A3" s="83" t="s">
        <v>367</v>
      </c>
      <c r="E3" s="643" t="s">
        <v>1342</v>
      </c>
      <c r="F3" s="643" t="s">
        <v>689</v>
      </c>
    </row>
    <row r="5" spans="1:14">
      <c r="A5" s="643" t="s">
        <v>1435</v>
      </c>
    </row>
    <row r="6" spans="1:14">
      <c r="A6" s="83"/>
      <c r="I6" s="787"/>
      <c r="J6" s="786"/>
    </row>
    <row r="7" spans="1:14">
      <c r="A7" s="1"/>
      <c r="C7" s="787" t="s">
        <v>345</v>
      </c>
      <c r="D7" s="786"/>
      <c r="F7" s="786" t="s">
        <v>104</v>
      </c>
      <c r="G7" s="786"/>
      <c r="I7" s="787" t="s">
        <v>262</v>
      </c>
      <c r="J7" s="786"/>
    </row>
    <row r="8" spans="1:14">
      <c r="C8" s="787" t="s">
        <v>368</v>
      </c>
      <c r="D8" s="786"/>
      <c r="F8" s="786" t="s">
        <v>105</v>
      </c>
      <c r="G8" s="786"/>
      <c r="I8" s="786" t="s">
        <v>105</v>
      </c>
      <c r="J8" s="786"/>
      <c r="L8" s="2" t="s">
        <v>2</v>
      </c>
      <c r="M8" s="2" t="s">
        <v>2</v>
      </c>
    </row>
    <row r="9" spans="1:14" ht="13.5" thickBot="1">
      <c r="C9" s="3"/>
      <c r="D9" s="3" t="s">
        <v>107</v>
      </c>
      <c r="E9" s="3"/>
      <c r="F9" s="3" t="s">
        <v>106</v>
      </c>
      <c r="G9" s="3" t="s">
        <v>107</v>
      </c>
      <c r="H9" s="3"/>
      <c r="I9" s="3" t="s">
        <v>106</v>
      </c>
      <c r="J9" s="3" t="s">
        <v>107</v>
      </c>
      <c r="K9" s="3"/>
      <c r="L9" s="3" t="s">
        <v>107</v>
      </c>
      <c r="M9" s="3" t="s">
        <v>106</v>
      </c>
    </row>
    <row r="10" spans="1:14" ht="13.5" thickTop="1"/>
    <row r="11" spans="1:14">
      <c r="A11" t="s">
        <v>3</v>
      </c>
    </row>
    <row r="12" spans="1:14">
      <c r="A12">
        <v>3100</v>
      </c>
      <c r="B12" t="s">
        <v>5</v>
      </c>
      <c r="C12" s="15"/>
      <c r="D12" s="6">
        <f>'Cost Allocations-Recycle'!G12</f>
        <v>2021399.1700000002</v>
      </c>
      <c r="F12" s="26">
        <v>1</v>
      </c>
      <c r="G12" s="6">
        <f t="shared" ref="G12:G20" si="0">+D12*F12</f>
        <v>2021399.1700000002</v>
      </c>
      <c r="I12" s="11"/>
      <c r="J12" s="6">
        <f t="shared" ref="J12:J20" si="1">+D12*I12</f>
        <v>0</v>
      </c>
      <c r="L12" s="6">
        <f>+G12+J12</f>
        <v>2021399.1700000002</v>
      </c>
      <c r="M12" s="11">
        <f>+F12+I12</f>
        <v>1</v>
      </c>
      <c r="N12" t="str">
        <f t="shared" ref="N12:N20" si="2">IF(M12&lt;&gt;1,"ERR"," ")</f>
        <v xml:space="preserve"> </v>
      </c>
    </row>
    <row r="13" spans="1:14">
      <c r="A13">
        <v>3112</v>
      </c>
      <c r="B13" t="s">
        <v>6</v>
      </c>
      <c r="C13" s="15"/>
      <c r="D13" s="6">
        <f>'Cost Allocations-Recycle'!G13</f>
        <v>0</v>
      </c>
      <c r="F13" s="26">
        <v>1</v>
      </c>
      <c r="G13" s="6">
        <f t="shared" si="0"/>
        <v>0</v>
      </c>
      <c r="I13" s="15"/>
      <c r="J13" s="6">
        <f t="shared" si="1"/>
        <v>0</v>
      </c>
      <c r="L13" s="6">
        <f t="shared" ref="L13:L20" si="3">+G13+J13</f>
        <v>0</v>
      </c>
      <c r="M13" s="11">
        <f t="shared" ref="M13:M20" si="4">+F13+I13</f>
        <v>1</v>
      </c>
      <c r="N13" t="str">
        <f t="shared" si="2"/>
        <v xml:space="preserve"> </v>
      </c>
    </row>
    <row r="14" spans="1:14">
      <c r="A14">
        <v>3114</v>
      </c>
      <c r="B14" t="s">
        <v>7</v>
      </c>
      <c r="C14" s="15"/>
      <c r="D14" s="6">
        <f>'Cost Allocations-Recycle'!G14</f>
        <v>0</v>
      </c>
      <c r="F14" s="26">
        <v>1</v>
      </c>
      <c r="G14" s="6">
        <f t="shared" si="0"/>
        <v>0</v>
      </c>
      <c r="I14" s="11"/>
      <c r="J14" s="6">
        <f t="shared" si="1"/>
        <v>0</v>
      </c>
      <c r="L14" s="6">
        <f t="shared" si="3"/>
        <v>0</v>
      </c>
      <c r="M14" s="11">
        <f t="shared" si="4"/>
        <v>1</v>
      </c>
      <c r="N14" t="str">
        <f t="shared" si="2"/>
        <v xml:space="preserve"> </v>
      </c>
    </row>
    <row r="15" spans="1:14">
      <c r="A15">
        <v>3300</v>
      </c>
      <c r="B15" t="s">
        <v>8</v>
      </c>
      <c r="C15" s="15"/>
      <c r="D15" s="6">
        <f>'Cost Allocations-Recycle'!G15</f>
        <v>241108.40100000001</v>
      </c>
      <c r="F15" s="26">
        <v>0</v>
      </c>
      <c r="G15" s="6">
        <f t="shared" si="0"/>
        <v>0</v>
      </c>
      <c r="I15" s="11">
        <v>1</v>
      </c>
      <c r="J15" s="6">
        <f t="shared" si="1"/>
        <v>241108.40100000001</v>
      </c>
      <c r="L15" s="6">
        <f t="shared" si="3"/>
        <v>241108.40100000001</v>
      </c>
      <c r="M15" s="11">
        <f t="shared" si="4"/>
        <v>1</v>
      </c>
      <c r="N15" t="str">
        <f t="shared" si="2"/>
        <v xml:space="preserve"> </v>
      </c>
    </row>
    <row r="16" spans="1:14">
      <c r="A16">
        <v>3310</v>
      </c>
      <c r="B16" t="s">
        <v>9</v>
      </c>
      <c r="C16" s="15"/>
      <c r="D16" s="6">
        <f>'Cost Allocations-Recycle'!G16</f>
        <v>365930.97</v>
      </c>
      <c r="F16" s="26">
        <v>0</v>
      </c>
      <c r="G16" s="6">
        <f t="shared" si="0"/>
        <v>0</v>
      </c>
      <c r="I16" s="11">
        <v>1</v>
      </c>
      <c r="J16" s="6">
        <f t="shared" si="1"/>
        <v>365930.97</v>
      </c>
      <c r="L16" s="6">
        <f t="shared" si="3"/>
        <v>365930.97</v>
      </c>
      <c r="M16" s="11">
        <f t="shared" si="4"/>
        <v>1</v>
      </c>
      <c r="N16" t="str">
        <f t="shared" si="2"/>
        <v xml:space="preserve"> </v>
      </c>
    </row>
    <row r="17" spans="1:14">
      <c r="A17">
        <v>3510</v>
      </c>
      <c r="B17" t="s">
        <v>327</v>
      </c>
      <c r="C17" s="15"/>
      <c r="D17" s="6">
        <f>'Cost Allocations-Recycle'!G17</f>
        <v>0</v>
      </c>
      <c r="F17" s="26">
        <v>1</v>
      </c>
      <c r="G17" s="6">
        <f t="shared" si="0"/>
        <v>0</v>
      </c>
      <c r="I17" s="11"/>
      <c r="J17" s="6">
        <f t="shared" si="1"/>
        <v>0</v>
      </c>
      <c r="L17" s="6">
        <f t="shared" si="3"/>
        <v>0</v>
      </c>
      <c r="M17" s="11">
        <f t="shared" si="4"/>
        <v>1</v>
      </c>
    </row>
    <row r="18" spans="1:14">
      <c r="A18">
        <v>3550</v>
      </c>
      <c r="B18" t="s">
        <v>328</v>
      </c>
      <c r="C18" s="15"/>
      <c r="D18" s="6">
        <f>'Cost Allocations-Recycle'!G18</f>
        <v>0</v>
      </c>
      <c r="F18" s="26">
        <v>1</v>
      </c>
      <c r="G18" s="6">
        <f t="shared" si="0"/>
        <v>0</v>
      </c>
      <c r="I18" s="88"/>
      <c r="J18" s="6">
        <f t="shared" si="1"/>
        <v>0</v>
      </c>
      <c r="L18" s="6">
        <f t="shared" si="3"/>
        <v>0</v>
      </c>
      <c r="M18" s="11">
        <f t="shared" si="4"/>
        <v>1</v>
      </c>
    </row>
    <row r="19" spans="1:14">
      <c r="A19">
        <v>3400</v>
      </c>
      <c r="B19" t="s">
        <v>10</v>
      </c>
      <c r="C19" s="15"/>
      <c r="D19" s="6">
        <f>'Cost Allocations-Recycle'!G19</f>
        <v>0</v>
      </c>
      <c r="F19" s="26">
        <v>1</v>
      </c>
      <c r="G19" s="6">
        <f t="shared" si="0"/>
        <v>0</v>
      </c>
      <c r="I19" s="11"/>
      <c r="J19" s="6">
        <f t="shared" si="1"/>
        <v>0</v>
      </c>
      <c r="L19" s="6">
        <f t="shared" si="3"/>
        <v>0</v>
      </c>
      <c r="M19" s="11">
        <f t="shared" si="4"/>
        <v>1</v>
      </c>
      <c r="N19" t="str">
        <f t="shared" si="2"/>
        <v xml:space="preserve"> </v>
      </c>
    </row>
    <row r="20" spans="1:14" ht="13.5" thickBot="1">
      <c r="A20">
        <v>3500</v>
      </c>
      <c r="B20" t="s">
        <v>11</v>
      </c>
      <c r="C20" s="25"/>
      <c r="D20" s="7">
        <f>'Cost Allocations-Recycle'!G20</f>
        <v>0</v>
      </c>
      <c r="E20" s="5"/>
      <c r="F20" s="105">
        <v>1</v>
      </c>
      <c r="G20" s="7">
        <f t="shared" si="0"/>
        <v>0</v>
      </c>
      <c r="H20" s="5"/>
      <c r="I20" s="12"/>
      <c r="J20" s="7">
        <f t="shared" si="1"/>
        <v>0</v>
      </c>
      <c r="K20" s="5"/>
      <c r="L20" s="7">
        <f t="shared" si="3"/>
        <v>0</v>
      </c>
      <c r="M20" s="12">
        <f t="shared" si="4"/>
        <v>1</v>
      </c>
      <c r="N20" t="str">
        <f t="shared" si="2"/>
        <v xml:space="preserve"> </v>
      </c>
    </row>
    <row r="21" spans="1:14">
      <c r="C21" s="11"/>
      <c r="D21" s="6"/>
      <c r="F21" s="11"/>
      <c r="I21" s="11"/>
      <c r="M21" s="11"/>
    </row>
    <row r="22" spans="1:14" ht="13.5" thickBot="1">
      <c r="B22" t="s">
        <v>4</v>
      </c>
      <c r="C22" s="12"/>
      <c r="D22" s="7">
        <f>SUM(D12:D20)</f>
        <v>2628438.5410000002</v>
      </c>
      <c r="E22" s="5"/>
      <c r="F22" s="12">
        <f>+G22/D22</f>
        <v>0.76904943314023644</v>
      </c>
      <c r="G22" s="7">
        <f>SUM(G12:G20)</f>
        <v>2021399.1700000002</v>
      </c>
      <c r="H22" s="5"/>
      <c r="I22" s="12">
        <f>+J22/D22</f>
        <v>0.23095056685976359</v>
      </c>
      <c r="J22" s="7">
        <f>SUM(J12:J20)</f>
        <v>607039.37100000004</v>
      </c>
      <c r="K22" s="5"/>
      <c r="L22" s="7">
        <f>SUM(L12:L20)</f>
        <v>2628438.5410000002</v>
      </c>
      <c r="M22" s="12">
        <f>+F22+I22</f>
        <v>1</v>
      </c>
    </row>
    <row r="23" spans="1:14">
      <c r="C23" s="11"/>
      <c r="D23" s="6"/>
      <c r="F23" s="11"/>
      <c r="I23" s="11"/>
      <c r="M23" s="11"/>
    </row>
    <row r="24" spans="1:14">
      <c r="A24" t="s">
        <v>12</v>
      </c>
      <c r="C24" s="11"/>
      <c r="D24" s="6"/>
      <c r="F24" s="11"/>
      <c r="I24" s="11"/>
      <c r="M24" s="11"/>
    </row>
    <row r="25" spans="1:14">
      <c r="A25" t="s">
        <v>13</v>
      </c>
      <c r="C25" s="11"/>
      <c r="D25" s="6"/>
      <c r="F25" s="11"/>
      <c r="I25" s="11"/>
      <c r="M25" s="11"/>
    </row>
    <row r="26" spans="1:14">
      <c r="A26">
        <v>4116</v>
      </c>
      <c r="B26" t="s">
        <v>29</v>
      </c>
      <c r="C26" s="26"/>
      <c r="D26" s="6">
        <f>'Cost Allocations-Recycle'!G26</f>
        <v>84340.379451253364</v>
      </c>
      <c r="F26" s="26">
        <v>1</v>
      </c>
      <c r="G26" s="6">
        <f t="shared" ref="G26:G39" si="5">+D26*F26</f>
        <v>84340.379451253364</v>
      </c>
      <c r="I26" s="26">
        <v>0</v>
      </c>
      <c r="J26" s="6">
        <f t="shared" ref="J26:J39" si="6">+D26*I26</f>
        <v>0</v>
      </c>
      <c r="L26" s="6">
        <f>+G26+J26</f>
        <v>84340.379451253364</v>
      </c>
      <c r="M26" s="11">
        <f>+F26+I26</f>
        <v>1</v>
      </c>
      <c r="N26" t="str">
        <f t="shared" ref="N26:N99" si="7">IF(M26&lt;&gt;1,"ERR"," ")</f>
        <v xml:space="preserve"> </v>
      </c>
    </row>
    <row r="27" spans="1:14">
      <c r="A27">
        <v>4117</v>
      </c>
      <c r="B27" t="s">
        <v>285</v>
      </c>
      <c r="C27" s="15"/>
      <c r="D27" s="6">
        <f>'Cost Allocations-Recycle'!G27</f>
        <v>3554.75</v>
      </c>
      <c r="F27" s="26">
        <v>0</v>
      </c>
      <c r="G27" s="87">
        <f t="shared" si="5"/>
        <v>0</v>
      </c>
      <c r="H27" s="83"/>
      <c r="I27" s="26">
        <v>1</v>
      </c>
      <c r="J27" s="6">
        <f t="shared" si="6"/>
        <v>3554.75</v>
      </c>
      <c r="L27" s="6">
        <f t="shared" ref="L27:L39" si="8">+G27+J27</f>
        <v>3554.75</v>
      </c>
      <c r="M27" s="11">
        <f t="shared" ref="M27:M39" si="9">+F27+I27</f>
        <v>1</v>
      </c>
      <c r="N27" t="str">
        <f t="shared" si="7"/>
        <v xml:space="preserve"> </v>
      </c>
    </row>
    <row r="28" spans="1:14">
      <c r="A28">
        <v>4118</v>
      </c>
      <c r="B28" t="s">
        <v>30</v>
      </c>
      <c r="C28" s="26"/>
      <c r="D28" s="6">
        <f>'Cost Allocations-Recycle'!G28</f>
        <v>2829.6183206106871</v>
      </c>
      <c r="F28" s="26">
        <v>1</v>
      </c>
      <c r="G28" s="87">
        <f t="shared" si="5"/>
        <v>2829.6183206106871</v>
      </c>
      <c r="H28" s="83"/>
      <c r="I28" s="26">
        <f>+'Hours &amp; Miles'!E28</f>
        <v>0</v>
      </c>
      <c r="J28" s="6">
        <f t="shared" si="6"/>
        <v>0</v>
      </c>
      <c r="L28" s="6">
        <f t="shared" si="8"/>
        <v>2829.6183206106871</v>
      </c>
      <c r="M28" s="11">
        <f t="shared" si="9"/>
        <v>1</v>
      </c>
      <c r="N28" s="83"/>
    </row>
    <row r="29" spans="1:14">
      <c r="A29">
        <v>4120</v>
      </c>
      <c r="B29" t="s">
        <v>278</v>
      </c>
      <c r="C29" s="26"/>
      <c r="D29" s="6">
        <f>'Cost Allocations-Recycle'!G29</f>
        <v>140</v>
      </c>
      <c r="F29" s="26">
        <f>+F27</f>
        <v>0</v>
      </c>
      <c r="G29" s="87">
        <f t="shared" si="5"/>
        <v>0</v>
      </c>
      <c r="H29" s="83"/>
      <c r="I29" s="26">
        <v>1</v>
      </c>
      <c r="J29" s="6">
        <f t="shared" si="6"/>
        <v>140</v>
      </c>
      <c r="L29" s="6">
        <f t="shared" si="8"/>
        <v>140</v>
      </c>
      <c r="M29" s="11">
        <f t="shared" si="9"/>
        <v>1</v>
      </c>
      <c r="N29" t="str">
        <f t="shared" si="7"/>
        <v xml:space="preserve"> </v>
      </c>
    </row>
    <row r="30" spans="1:14">
      <c r="A30">
        <v>4122</v>
      </c>
      <c r="B30" t="s">
        <v>329</v>
      </c>
      <c r="C30" s="88"/>
      <c r="D30" s="6">
        <f>'Cost Allocations-Recycle'!G30</f>
        <v>0</v>
      </c>
      <c r="F30" s="26">
        <v>1</v>
      </c>
      <c r="G30" s="87">
        <f t="shared" si="5"/>
        <v>0</v>
      </c>
      <c r="H30" s="83"/>
      <c r="I30" s="26">
        <v>0</v>
      </c>
      <c r="J30" s="6">
        <f t="shared" si="6"/>
        <v>0</v>
      </c>
      <c r="L30" s="6">
        <f t="shared" si="8"/>
        <v>0</v>
      </c>
      <c r="M30" s="11">
        <f t="shared" si="9"/>
        <v>1</v>
      </c>
      <c r="N30" s="83"/>
    </row>
    <row r="31" spans="1:14">
      <c r="A31">
        <v>4132</v>
      </c>
      <c r="B31" t="s">
        <v>31</v>
      </c>
      <c r="C31" s="11"/>
      <c r="D31" s="6">
        <f>'Cost Allocations-Recycle'!G31</f>
        <v>51247.294018989764</v>
      </c>
      <c r="F31" s="11">
        <f>+F26</f>
        <v>1</v>
      </c>
      <c r="G31" s="6">
        <f t="shared" si="5"/>
        <v>51247.294018989764</v>
      </c>
      <c r="I31" s="11">
        <f>+I26</f>
        <v>0</v>
      </c>
      <c r="J31" s="6">
        <f t="shared" si="6"/>
        <v>0</v>
      </c>
      <c r="L31" s="6">
        <f t="shared" si="8"/>
        <v>51247.294018989764</v>
      </c>
      <c r="M31" s="11">
        <f t="shared" si="9"/>
        <v>1</v>
      </c>
      <c r="N31" t="str">
        <f t="shared" si="7"/>
        <v xml:space="preserve"> </v>
      </c>
    </row>
    <row r="32" spans="1:14">
      <c r="A32">
        <v>4133</v>
      </c>
      <c r="B32" t="s">
        <v>279</v>
      </c>
      <c r="C32" s="11"/>
      <c r="D32" s="6">
        <f>'Cost Allocations-Recycle'!G32</f>
        <v>5382.42</v>
      </c>
      <c r="F32" s="11">
        <f>+F27</f>
        <v>0</v>
      </c>
      <c r="G32" s="6">
        <f t="shared" si="5"/>
        <v>0</v>
      </c>
      <c r="I32" s="11">
        <f>+I27</f>
        <v>1</v>
      </c>
      <c r="J32" s="6">
        <f t="shared" si="6"/>
        <v>5382.42</v>
      </c>
      <c r="L32" s="6">
        <f t="shared" si="8"/>
        <v>5382.42</v>
      </c>
      <c r="M32" s="11">
        <f t="shared" si="9"/>
        <v>1</v>
      </c>
      <c r="N32" t="str">
        <f t="shared" si="7"/>
        <v xml:space="preserve"> </v>
      </c>
    </row>
    <row r="33" spans="1:14">
      <c r="A33">
        <v>4134</v>
      </c>
      <c r="B33" t="s">
        <v>32</v>
      </c>
      <c r="C33" s="11"/>
      <c r="D33" s="6">
        <f>'Cost Allocations-Recycle'!G33</f>
        <v>4335.7190839694658</v>
      </c>
      <c r="F33" s="11">
        <f>+F28</f>
        <v>1</v>
      </c>
      <c r="G33" s="6">
        <f t="shared" si="5"/>
        <v>4335.7190839694658</v>
      </c>
      <c r="I33" s="11">
        <f>+I28</f>
        <v>0</v>
      </c>
      <c r="J33" s="6">
        <f t="shared" si="6"/>
        <v>0</v>
      </c>
      <c r="L33" s="6">
        <f t="shared" si="8"/>
        <v>4335.7190839694658</v>
      </c>
      <c r="M33" s="11">
        <f t="shared" si="9"/>
        <v>1</v>
      </c>
      <c r="N33" t="str">
        <f t="shared" si="7"/>
        <v xml:space="preserve"> </v>
      </c>
    </row>
    <row r="34" spans="1:14">
      <c r="A34">
        <v>4136</v>
      </c>
      <c r="B34" t="s">
        <v>280</v>
      </c>
      <c r="C34" s="11"/>
      <c r="D34" s="6">
        <f>'Cost Allocations-Recycle'!G34</f>
        <v>526.72</v>
      </c>
      <c r="F34" s="11">
        <f>+F27</f>
        <v>0</v>
      </c>
      <c r="G34" s="6">
        <f t="shared" si="5"/>
        <v>0</v>
      </c>
      <c r="I34" s="11">
        <f>+I29</f>
        <v>1</v>
      </c>
      <c r="J34" s="6">
        <f t="shared" si="6"/>
        <v>526.72</v>
      </c>
      <c r="L34" s="6">
        <f t="shared" si="8"/>
        <v>526.72</v>
      </c>
      <c r="M34" s="11">
        <f t="shared" si="9"/>
        <v>1</v>
      </c>
      <c r="N34" t="str">
        <f t="shared" si="7"/>
        <v xml:space="preserve"> </v>
      </c>
    </row>
    <row r="35" spans="1:14">
      <c r="A35">
        <v>4138</v>
      </c>
      <c r="B35" t="s">
        <v>330</v>
      </c>
      <c r="C35" s="11"/>
      <c r="D35" s="6">
        <f>'Cost Allocations-Recycle'!G35</f>
        <v>0</v>
      </c>
      <c r="F35" s="11">
        <v>1</v>
      </c>
      <c r="G35" s="6">
        <f t="shared" si="5"/>
        <v>0</v>
      </c>
      <c r="I35" s="11">
        <f>+I30</f>
        <v>0</v>
      </c>
      <c r="J35" s="6">
        <f t="shared" si="6"/>
        <v>0</v>
      </c>
      <c r="L35" s="6">
        <f t="shared" si="8"/>
        <v>0</v>
      </c>
      <c r="M35" s="11">
        <f t="shared" si="9"/>
        <v>1</v>
      </c>
      <c r="N35" t="str">
        <f>IF(M35&lt;&gt;1,"ERR"," ")</f>
        <v xml:space="preserve"> </v>
      </c>
    </row>
    <row r="36" spans="1:14">
      <c r="A36">
        <v>4160</v>
      </c>
      <c r="B36" t="s">
        <v>33</v>
      </c>
      <c r="C36" s="26"/>
      <c r="D36" s="6">
        <f>'Cost Allocations-Recycle'!G36</f>
        <v>23995.173721388677</v>
      </c>
      <c r="F36" s="26">
        <v>1</v>
      </c>
      <c r="G36" s="6">
        <f t="shared" si="5"/>
        <v>23995.173721388677</v>
      </c>
      <c r="I36" s="26">
        <v>0</v>
      </c>
      <c r="J36" s="6">
        <f t="shared" si="6"/>
        <v>0</v>
      </c>
      <c r="L36" s="6">
        <f t="shared" si="8"/>
        <v>23995.173721388677</v>
      </c>
      <c r="M36" s="11">
        <f t="shared" si="9"/>
        <v>1</v>
      </c>
      <c r="N36" t="str">
        <f t="shared" si="7"/>
        <v xml:space="preserve"> </v>
      </c>
    </row>
    <row r="37" spans="1:14">
      <c r="A37">
        <v>4161</v>
      </c>
      <c r="B37" t="s">
        <v>281</v>
      </c>
      <c r="C37" s="26"/>
      <c r="D37" s="6">
        <f>'Cost Allocations-Recycle'!G37</f>
        <v>3764.16</v>
      </c>
      <c r="F37" s="26">
        <f>+F27</f>
        <v>0</v>
      </c>
      <c r="G37" s="6">
        <f t="shared" si="5"/>
        <v>0</v>
      </c>
      <c r="I37" s="26">
        <v>1</v>
      </c>
      <c r="J37" s="6">
        <f t="shared" si="6"/>
        <v>3764.16</v>
      </c>
      <c r="L37" s="6">
        <f t="shared" si="8"/>
        <v>3764.16</v>
      </c>
      <c r="M37" s="11">
        <f t="shared" si="9"/>
        <v>1</v>
      </c>
      <c r="N37" t="str">
        <f t="shared" si="7"/>
        <v xml:space="preserve"> </v>
      </c>
    </row>
    <row r="38" spans="1:14">
      <c r="A38">
        <v>4162</v>
      </c>
      <c r="B38" t="s">
        <v>1275</v>
      </c>
      <c r="C38" s="26"/>
      <c r="D38" s="6">
        <f>'Cost Allocations-Recycle'!G38</f>
        <v>0</v>
      </c>
      <c r="F38" s="26">
        <f>+F28</f>
        <v>1</v>
      </c>
      <c r="G38" s="6">
        <f t="shared" ref="G38" si="10">+D38*F38</f>
        <v>0</v>
      </c>
      <c r="I38" s="26">
        <v>0</v>
      </c>
      <c r="J38" s="6">
        <f t="shared" ref="J38" si="11">+D38*I38</f>
        <v>0</v>
      </c>
      <c r="L38" s="6">
        <f t="shared" ref="L38" si="12">+G38+J38</f>
        <v>0</v>
      </c>
      <c r="M38" s="11">
        <f t="shared" ref="M38" si="13">+F38+I38</f>
        <v>1</v>
      </c>
      <c r="N38" t="str">
        <f t="shared" ref="N38" si="14">IF(M38&lt;&gt;1,"ERR"," ")</f>
        <v xml:space="preserve"> </v>
      </c>
    </row>
    <row r="39" spans="1:14">
      <c r="A39">
        <v>4180</v>
      </c>
      <c r="B39" t="s">
        <v>34</v>
      </c>
      <c r="C39" s="11"/>
      <c r="D39" s="6">
        <f>'Cost Allocations-Recycle'!G39</f>
        <v>18004.893719435637</v>
      </c>
      <c r="F39" s="11">
        <f>+F26</f>
        <v>1</v>
      </c>
      <c r="G39" s="6">
        <f t="shared" si="5"/>
        <v>18004.893719435637</v>
      </c>
      <c r="I39" s="11">
        <f>+I26</f>
        <v>0</v>
      </c>
      <c r="J39" s="6">
        <f t="shared" si="6"/>
        <v>0</v>
      </c>
      <c r="L39" s="6">
        <f t="shared" si="8"/>
        <v>18004.893719435637</v>
      </c>
      <c r="M39" s="11">
        <f t="shared" si="9"/>
        <v>1</v>
      </c>
      <c r="N39" t="str">
        <f t="shared" si="7"/>
        <v xml:space="preserve"> </v>
      </c>
    </row>
    <row r="40" spans="1:14">
      <c r="A40" t="s">
        <v>16</v>
      </c>
      <c r="C40" s="11"/>
      <c r="D40" s="6"/>
      <c r="F40" s="11"/>
      <c r="G40" s="6"/>
      <c r="I40" s="11"/>
      <c r="J40" s="6"/>
      <c r="L40" s="6"/>
      <c r="M40" s="11"/>
    </row>
    <row r="41" spans="1:14">
      <c r="A41">
        <v>4210</v>
      </c>
      <c r="B41" t="s">
        <v>35</v>
      </c>
      <c r="C41" s="11"/>
      <c r="D41" s="6">
        <f>'Cost Allocations-Recycle'!G41</f>
        <v>0</v>
      </c>
      <c r="F41" s="26">
        <f>1-I41</f>
        <v>0.89308039270714457</v>
      </c>
      <c r="G41" s="6">
        <f t="shared" ref="G41:G50" si="15">+D41*F41</f>
        <v>0</v>
      </c>
      <c r="I41" s="26">
        <f>'Hours &amp; Miles'!I80</f>
        <v>0.10691960729285539</v>
      </c>
      <c r="J41" s="6">
        <f t="shared" ref="J41:J50" si="16">+D41*I41</f>
        <v>0</v>
      </c>
      <c r="L41" s="6">
        <f t="shared" ref="L41:L50" si="17">+G41+J41</f>
        <v>0</v>
      </c>
      <c r="M41" s="11">
        <f t="shared" ref="M41:M50" si="18">+F41+I41</f>
        <v>1</v>
      </c>
      <c r="N41" t="s">
        <v>386</v>
      </c>
    </row>
    <row r="42" spans="1:14">
      <c r="A42">
        <v>4213</v>
      </c>
      <c r="B42" t="s">
        <v>36</v>
      </c>
      <c r="C42" s="11"/>
      <c r="D42" s="6">
        <f>'Cost Allocations-Recycle'!G42</f>
        <v>293712.75198684493</v>
      </c>
      <c r="F42" s="11">
        <v>1</v>
      </c>
      <c r="G42" s="6">
        <f t="shared" si="15"/>
        <v>293712.75198684493</v>
      </c>
      <c r="I42" s="11">
        <v>0</v>
      </c>
      <c r="J42" s="6">
        <f t="shared" si="16"/>
        <v>0</v>
      </c>
      <c r="L42" s="6">
        <f t="shared" si="17"/>
        <v>293712.75198684493</v>
      </c>
      <c r="M42" s="11">
        <f t="shared" si="18"/>
        <v>1</v>
      </c>
      <c r="N42" t="str">
        <f t="shared" si="7"/>
        <v xml:space="preserve"> </v>
      </c>
    </row>
    <row r="43" spans="1:14">
      <c r="A43">
        <v>4215</v>
      </c>
      <c r="B43" t="s">
        <v>37</v>
      </c>
      <c r="C43" s="26"/>
      <c r="D43" s="6">
        <f>'Cost Allocations-Recycle'!G43</f>
        <v>41679.339999999997</v>
      </c>
      <c r="F43" s="26">
        <f>+F27</f>
        <v>0</v>
      </c>
      <c r="G43" s="6">
        <f t="shared" si="15"/>
        <v>0</v>
      </c>
      <c r="I43" s="26">
        <f>+I27</f>
        <v>1</v>
      </c>
      <c r="J43" s="6">
        <f t="shared" si="16"/>
        <v>41679.339999999997</v>
      </c>
      <c r="L43" s="6">
        <f t="shared" si="17"/>
        <v>41679.339999999997</v>
      </c>
      <c r="M43" s="11">
        <f t="shared" si="18"/>
        <v>1</v>
      </c>
      <c r="N43" t="str">
        <f t="shared" si="7"/>
        <v xml:space="preserve"> </v>
      </c>
    </row>
    <row r="44" spans="1:14">
      <c r="A44">
        <v>4217</v>
      </c>
      <c r="B44" t="s">
        <v>284</v>
      </c>
      <c r="C44" s="11"/>
      <c r="D44" s="6">
        <f>'Cost Allocations-Recycle'!G44</f>
        <v>7638.65751196169</v>
      </c>
      <c r="F44" s="11">
        <v>1</v>
      </c>
      <c r="G44" s="6">
        <f t="shared" si="15"/>
        <v>7638.65751196169</v>
      </c>
      <c r="I44" s="11">
        <f>'Hours &amp; Miles'!J51</f>
        <v>0</v>
      </c>
      <c r="J44" s="6">
        <f t="shared" si="16"/>
        <v>0</v>
      </c>
      <c r="L44" s="6">
        <f t="shared" si="17"/>
        <v>7638.65751196169</v>
      </c>
      <c r="M44" s="11">
        <f t="shared" si="18"/>
        <v>1</v>
      </c>
      <c r="N44" t="str">
        <f t="shared" si="7"/>
        <v xml:space="preserve"> </v>
      </c>
    </row>
    <row r="45" spans="1:14">
      <c r="A45">
        <v>4222</v>
      </c>
      <c r="B45" t="s">
        <v>331</v>
      </c>
      <c r="C45" s="11"/>
      <c r="D45" s="6">
        <f>'Cost Allocations-Recycle'!G45</f>
        <v>0</v>
      </c>
      <c r="F45" s="11">
        <v>1</v>
      </c>
      <c r="G45" s="6">
        <f t="shared" si="15"/>
        <v>0</v>
      </c>
      <c r="I45" s="11">
        <v>0</v>
      </c>
      <c r="J45" s="6">
        <f t="shared" si="16"/>
        <v>0</v>
      </c>
      <c r="L45" s="6">
        <f t="shared" si="17"/>
        <v>0</v>
      </c>
      <c r="M45" s="11">
        <f t="shared" si="18"/>
        <v>1</v>
      </c>
      <c r="N45" t="str">
        <f>IF(M45&lt;&gt;1,"ERR"," ")</f>
        <v xml:space="preserve"> </v>
      </c>
    </row>
    <row r="46" spans="1:14">
      <c r="A46">
        <v>4240</v>
      </c>
      <c r="B46" t="s">
        <v>38</v>
      </c>
      <c r="C46" s="11"/>
      <c r="D46" s="6">
        <f>'Cost Allocations-Recycle'!G46</f>
        <v>93563.656315368222</v>
      </c>
      <c r="F46" s="11">
        <f>'Hours &amp; Miles'!I74</f>
        <v>0.96297595801806202</v>
      </c>
      <c r="G46" s="6">
        <f t="shared" si="15"/>
        <v>90099.551575964419</v>
      </c>
      <c r="I46" s="11">
        <f>'Hours &amp; Miles'!J74</f>
        <v>3.7024041981937983E-2</v>
      </c>
      <c r="J46" s="6">
        <f t="shared" si="16"/>
        <v>3464.1047394038101</v>
      </c>
      <c r="L46" s="6">
        <f t="shared" si="17"/>
        <v>93563.656315368222</v>
      </c>
      <c r="M46" s="11">
        <f t="shared" si="18"/>
        <v>1</v>
      </c>
      <c r="N46" t="str">
        <f t="shared" si="7"/>
        <v xml:space="preserve"> </v>
      </c>
    </row>
    <row r="47" spans="1:14">
      <c r="A47">
        <v>4241</v>
      </c>
      <c r="B47" t="s">
        <v>282</v>
      </c>
      <c r="C47" s="11"/>
      <c r="D47" s="6">
        <f>'Cost Allocations-Recycle'!G47</f>
        <v>24776.99</v>
      </c>
      <c r="F47" s="11">
        <f>+F27</f>
        <v>0</v>
      </c>
      <c r="G47" s="6">
        <f t="shared" si="15"/>
        <v>0</v>
      </c>
      <c r="I47" s="11">
        <f>+I27</f>
        <v>1</v>
      </c>
      <c r="J47" s="6">
        <f t="shared" si="16"/>
        <v>24776.99</v>
      </c>
      <c r="L47" s="6">
        <f t="shared" si="17"/>
        <v>24776.99</v>
      </c>
      <c r="M47" s="11">
        <f t="shared" si="18"/>
        <v>1</v>
      </c>
      <c r="N47" t="str">
        <f t="shared" si="7"/>
        <v xml:space="preserve"> </v>
      </c>
    </row>
    <row r="48" spans="1:14">
      <c r="A48">
        <v>4244</v>
      </c>
      <c r="B48" t="s">
        <v>332</v>
      </c>
      <c r="C48" s="11"/>
      <c r="D48" s="6">
        <f>'Cost Allocations-Recycle'!G48</f>
        <v>0</v>
      </c>
      <c r="F48" s="11">
        <f>F45</f>
        <v>1</v>
      </c>
      <c r="G48" s="6">
        <f t="shared" si="15"/>
        <v>0</v>
      </c>
      <c r="I48" s="11">
        <v>0</v>
      </c>
      <c r="J48" s="6">
        <f t="shared" si="16"/>
        <v>0</v>
      </c>
      <c r="L48" s="6">
        <f t="shared" si="17"/>
        <v>0</v>
      </c>
      <c r="M48" s="11">
        <f t="shared" si="18"/>
        <v>1</v>
      </c>
      <c r="N48" t="str">
        <f>IF(M48&lt;&gt;1,"ERR"," ")</f>
        <v xml:space="preserve"> </v>
      </c>
    </row>
    <row r="49" spans="1:14">
      <c r="A49">
        <v>4280</v>
      </c>
      <c r="B49" t="s">
        <v>39</v>
      </c>
      <c r="C49" s="11"/>
      <c r="D49" s="6">
        <f>'Cost Allocations-Recycle'!G49</f>
        <v>12138.718510616805</v>
      </c>
      <c r="F49" s="11">
        <f>F42</f>
        <v>1</v>
      </c>
      <c r="G49" s="6">
        <f t="shared" si="15"/>
        <v>12138.718510616805</v>
      </c>
      <c r="I49" s="11">
        <f>+I42</f>
        <v>0</v>
      </c>
      <c r="J49" s="6">
        <f t="shared" si="16"/>
        <v>0</v>
      </c>
      <c r="L49" s="6">
        <f t="shared" si="17"/>
        <v>12138.718510616805</v>
      </c>
      <c r="M49" s="11">
        <f t="shared" si="18"/>
        <v>1</v>
      </c>
      <c r="N49" t="str">
        <f t="shared" si="7"/>
        <v xml:space="preserve"> </v>
      </c>
    </row>
    <row r="50" spans="1:14">
      <c r="A50">
        <v>4282</v>
      </c>
      <c r="B50" t="s">
        <v>334</v>
      </c>
      <c r="C50" s="11"/>
      <c r="D50" s="6">
        <f>'Cost Allocations-Recycle'!G50</f>
        <v>0</v>
      </c>
      <c r="F50" s="11">
        <f>F48</f>
        <v>1</v>
      </c>
      <c r="G50" s="6">
        <f t="shared" si="15"/>
        <v>0</v>
      </c>
      <c r="I50" s="11">
        <v>0</v>
      </c>
      <c r="J50" s="6">
        <f t="shared" si="16"/>
        <v>0</v>
      </c>
      <c r="L50" s="6">
        <f t="shared" si="17"/>
        <v>0</v>
      </c>
      <c r="M50" s="11">
        <f t="shared" si="18"/>
        <v>1</v>
      </c>
      <c r="N50" t="str">
        <f>IF(M50&lt;&gt;1,"ERR"," ")</f>
        <v xml:space="preserve"> </v>
      </c>
    </row>
    <row r="51" spans="1:14">
      <c r="A51" t="s">
        <v>17</v>
      </c>
      <c r="C51" s="11"/>
      <c r="D51" s="6"/>
      <c r="F51" s="11"/>
      <c r="G51" s="6"/>
      <c r="I51" s="11"/>
      <c r="J51" s="6"/>
      <c r="L51" s="6"/>
      <c r="M51" s="11"/>
    </row>
    <row r="52" spans="1:14">
      <c r="A52">
        <v>4360</v>
      </c>
      <c r="B52" t="s">
        <v>40</v>
      </c>
      <c r="C52" s="26"/>
      <c r="D52" s="6">
        <f>'Cost Allocations-Recycle'!G52</f>
        <v>447644.11896463233</v>
      </c>
      <c r="F52" s="26">
        <v>1</v>
      </c>
      <c r="G52" s="6">
        <f>+D52*F52</f>
        <v>447644.11896463233</v>
      </c>
      <c r="I52" s="26">
        <v>0</v>
      </c>
      <c r="J52" s="6">
        <f>+D52*I52</f>
        <v>0</v>
      </c>
      <c r="L52" s="6">
        <f>+G52+J52</f>
        <v>447644.11896463233</v>
      </c>
      <c r="M52" s="11">
        <f>+F52+I52</f>
        <v>1</v>
      </c>
      <c r="N52" t="str">
        <f t="shared" si="7"/>
        <v xml:space="preserve"> </v>
      </c>
    </row>
    <row r="53" spans="1:14">
      <c r="A53">
        <v>4361</v>
      </c>
      <c r="B53" t="s">
        <v>41</v>
      </c>
      <c r="C53" s="15"/>
      <c r="D53" s="6">
        <f>'Cost Allocations-Recycle'!G53</f>
        <v>255383.11</v>
      </c>
      <c r="F53" s="26">
        <v>0</v>
      </c>
      <c r="G53" s="6">
        <f>+D53*F53</f>
        <v>0</v>
      </c>
      <c r="I53" s="26">
        <v>1</v>
      </c>
      <c r="J53" s="6">
        <f>+D53*I53</f>
        <v>255383.11</v>
      </c>
      <c r="L53" s="6">
        <f>+G53+J53</f>
        <v>255383.11</v>
      </c>
      <c r="M53" s="11">
        <f>+F53+I53</f>
        <v>1</v>
      </c>
      <c r="N53" t="str">
        <f t="shared" si="7"/>
        <v xml:space="preserve"> </v>
      </c>
    </row>
    <row r="54" spans="1:14">
      <c r="A54">
        <v>4362</v>
      </c>
      <c r="B54" t="s">
        <v>42</v>
      </c>
      <c r="C54" s="26"/>
      <c r="D54" s="6">
        <f>'Cost Allocations-Recycle'!G54</f>
        <v>120310.00710885911</v>
      </c>
      <c r="F54" s="26">
        <v>1</v>
      </c>
      <c r="G54" s="6">
        <f>+D54*F54</f>
        <v>120310.00710885911</v>
      </c>
      <c r="I54" s="26">
        <v>0</v>
      </c>
      <c r="J54" s="6">
        <f>+D54*I54</f>
        <v>0</v>
      </c>
      <c r="L54" s="6">
        <f>+G54+J54</f>
        <v>120310.00710885911</v>
      </c>
      <c r="M54" s="11">
        <f>+F54+I54</f>
        <v>1</v>
      </c>
      <c r="N54" t="str">
        <f t="shared" si="7"/>
        <v xml:space="preserve"> </v>
      </c>
    </row>
    <row r="55" spans="1:14">
      <c r="A55">
        <v>4363</v>
      </c>
      <c r="B55" t="s">
        <v>43</v>
      </c>
      <c r="C55" s="15"/>
      <c r="D55" s="6">
        <f>'Cost Allocations-Recycle'!G55</f>
        <v>110547.86</v>
      </c>
      <c r="F55" s="26">
        <v>0</v>
      </c>
      <c r="G55" s="6">
        <f>+D55*F55</f>
        <v>0</v>
      </c>
      <c r="I55" s="26">
        <v>1</v>
      </c>
      <c r="J55" s="6">
        <f>+D55*I55</f>
        <v>110547.86</v>
      </c>
      <c r="L55" s="6">
        <f>+G55+J55</f>
        <v>110547.86</v>
      </c>
      <c r="M55" s="11">
        <f>+F55+I55</f>
        <v>1</v>
      </c>
      <c r="N55" t="str">
        <f t="shared" si="7"/>
        <v xml:space="preserve"> </v>
      </c>
    </row>
    <row r="56" spans="1:14">
      <c r="A56">
        <v>4380</v>
      </c>
      <c r="B56" t="s">
        <v>335</v>
      </c>
      <c r="C56" s="15"/>
      <c r="D56" s="6">
        <f>'Cost Allocations-Recycle'!G56</f>
        <v>0</v>
      </c>
      <c r="F56" s="26">
        <v>1</v>
      </c>
      <c r="G56" s="87">
        <f>+D56*F56</f>
        <v>0</v>
      </c>
      <c r="H56" s="83"/>
      <c r="I56" s="26">
        <v>0</v>
      </c>
      <c r="J56" s="6">
        <f>+D56*I56</f>
        <v>0</v>
      </c>
      <c r="L56" s="6">
        <f>+G56+J56</f>
        <v>0</v>
      </c>
      <c r="M56" s="11">
        <f>+F56+I56</f>
        <v>1</v>
      </c>
      <c r="N56" t="str">
        <f>IF(M56&lt;&gt;1,"ERR"," ")</f>
        <v xml:space="preserve"> </v>
      </c>
    </row>
    <row r="57" spans="1:14">
      <c r="A57" t="s">
        <v>14</v>
      </c>
      <c r="C57" s="11"/>
      <c r="D57" s="6"/>
      <c r="F57" s="11"/>
      <c r="G57" s="6"/>
      <c r="I57" s="11"/>
      <c r="J57" s="6"/>
      <c r="L57" s="6"/>
      <c r="M57" s="11"/>
    </row>
    <row r="58" spans="1:14">
      <c r="A58">
        <v>4430</v>
      </c>
      <c r="B58" t="s">
        <v>44</v>
      </c>
      <c r="C58" s="11"/>
      <c r="D58" s="6">
        <f>'Cost Allocations-Recycle'!G58</f>
        <v>0</v>
      </c>
      <c r="F58" s="11">
        <v>1</v>
      </c>
      <c r="G58" s="6">
        <f>+D58*F58</f>
        <v>0</v>
      </c>
      <c r="I58" s="11">
        <v>0</v>
      </c>
      <c r="J58" s="6">
        <f>+D58*I58</f>
        <v>0</v>
      </c>
      <c r="L58" s="6">
        <f>+G58+J58</f>
        <v>0</v>
      </c>
      <c r="M58" s="11">
        <f>+F58+I58</f>
        <v>1</v>
      </c>
      <c r="N58" t="str">
        <f t="shared" si="7"/>
        <v xml:space="preserve"> </v>
      </c>
    </row>
    <row r="59" spans="1:14">
      <c r="A59">
        <v>4450</v>
      </c>
      <c r="B59" t="s">
        <v>45</v>
      </c>
      <c r="C59" s="15"/>
      <c r="D59" s="6">
        <f>'Cost Allocations-Recycle'!G59</f>
        <v>3734.3199999999997</v>
      </c>
      <c r="F59" s="26">
        <v>1</v>
      </c>
      <c r="G59" s="87">
        <f>+D59*F59</f>
        <v>3734.3199999999997</v>
      </c>
      <c r="H59" s="83"/>
      <c r="I59" s="26">
        <v>0</v>
      </c>
      <c r="J59" s="6">
        <f>+D59*I59</f>
        <v>0</v>
      </c>
      <c r="L59" s="6">
        <f>+G59+J59</f>
        <v>3734.3199999999997</v>
      </c>
      <c r="M59" s="11">
        <f>+F59+I59</f>
        <v>1</v>
      </c>
      <c r="N59" t="str">
        <f t="shared" si="7"/>
        <v xml:space="preserve"> </v>
      </c>
    </row>
    <row r="60" spans="1:14">
      <c r="A60" t="s">
        <v>15</v>
      </c>
      <c r="C60" s="11"/>
      <c r="D60" s="6"/>
      <c r="F60" s="11"/>
      <c r="G60" s="6"/>
      <c r="I60" s="11"/>
      <c r="J60" s="6"/>
      <c r="L60" s="6"/>
      <c r="M60" s="11"/>
    </row>
    <row r="61" spans="1:14">
      <c r="A61">
        <v>4530</v>
      </c>
      <c r="B61" t="s">
        <v>46</v>
      </c>
      <c r="C61" s="11"/>
      <c r="D61" s="6">
        <f>'Cost Allocations-Recycle'!G61</f>
        <v>63176.698194627927</v>
      </c>
      <c r="F61" s="106">
        <f>F65</f>
        <v>0.91351190166467511</v>
      </c>
      <c r="G61" s="6">
        <f>+D61*F61</f>
        <v>57712.665708669803</v>
      </c>
      <c r="I61" s="11">
        <f>I65</f>
        <v>8.6488098335324948E-2</v>
      </c>
      <c r="J61" s="6">
        <f>+D61*I61</f>
        <v>5464.032485958126</v>
      </c>
      <c r="L61" s="6">
        <f>+G61+J61</f>
        <v>63176.698194627927</v>
      </c>
      <c r="M61" s="11">
        <f>+F61+I61</f>
        <v>1</v>
      </c>
      <c r="N61" t="str">
        <f t="shared" si="7"/>
        <v xml:space="preserve"> </v>
      </c>
    </row>
    <row r="62" spans="1:14">
      <c r="A62">
        <v>4540</v>
      </c>
      <c r="B62" t="s">
        <v>47</v>
      </c>
      <c r="C62" s="11"/>
      <c r="D62" s="6">
        <f>'Cost Allocations-Recycle'!G62</f>
        <v>17297.674417974624</v>
      </c>
      <c r="F62" s="106">
        <f>1-I62</f>
        <v>0.89038901292643935</v>
      </c>
      <c r="G62" s="6">
        <f>+D62*F62</f>
        <v>15401.659250943347</v>
      </c>
      <c r="I62" s="11">
        <f>J62/D62</f>
        <v>0.10961098707356066</v>
      </c>
      <c r="J62" s="6">
        <f>'Hours &amp; Miles'!I78*'L&amp;I'!$E$25</f>
        <v>1896.0151670312775</v>
      </c>
      <c r="L62" s="6">
        <f>+G62+J62</f>
        <v>17297.674417974624</v>
      </c>
      <c r="M62" s="11">
        <f>+F62+I62</f>
        <v>1</v>
      </c>
      <c r="N62" t="s">
        <v>387</v>
      </c>
    </row>
    <row r="63" spans="1:14">
      <c r="A63">
        <v>4580</v>
      </c>
      <c r="B63" t="s">
        <v>48</v>
      </c>
      <c r="C63" s="11"/>
      <c r="D63" s="6">
        <f>'Cost Allocations-Recycle'!G63</f>
        <v>0</v>
      </c>
      <c r="F63" s="11">
        <f>+F26</f>
        <v>1</v>
      </c>
      <c r="G63" s="6">
        <f>+D63*F63</f>
        <v>0</v>
      </c>
      <c r="I63" s="11">
        <f>+I26</f>
        <v>0</v>
      </c>
      <c r="J63" s="6">
        <f>+D63*I63</f>
        <v>0</v>
      </c>
      <c r="L63" s="6">
        <f>+G63+J63</f>
        <v>0</v>
      </c>
      <c r="M63" s="11">
        <f>+F63+I63</f>
        <v>1</v>
      </c>
      <c r="N63" t="str">
        <f t="shared" si="7"/>
        <v xml:space="preserve"> </v>
      </c>
    </row>
    <row r="64" spans="1:14">
      <c r="A64" t="s">
        <v>18</v>
      </c>
      <c r="C64" s="11"/>
      <c r="D64" s="6"/>
      <c r="F64" s="11"/>
      <c r="G64" s="6"/>
      <c r="I64" s="11"/>
      <c r="J64" s="6"/>
      <c r="L64" s="6"/>
      <c r="M64" s="11"/>
    </row>
    <row r="65" spans="1:14">
      <c r="A65">
        <v>4611</v>
      </c>
      <c r="B65" t="s">
        <v>49</v>
      </c>
      <c r="C65" s="15"/>
      <c r="D65" s="6">
        <f>'Cost Allocations-Recycle'!G65</f>
        <v>61316.368457957396</v>
      </c>
      <c r="F65" s="108">
        <f>1-I65</f>
        <v>0.91351190166467511</v>
      </c>
      <c r="G65" s="6">
        <f t="shared" ref="G65:G82" si="19">+D65*F65</f>
        <v>56013.232353200561</v>
      </c>
      <c r="I65" s="26">
        <f>+'Hours &amp; Miles'!I86</f>
        <v>8.6488098335324948E-2</v>
      </c>
      <c r="J65" s="6">
        <f t="shared" ref="J65:J82" si="20">+D65*I65</f>
        <v>5303.1361047568362</v>
      </c>
      <c r="L65" s="6">
        <f t="shared" ref="L65:L82" si="21">+G65+J65</f>
        <v>61316.368457957396</v>
      </c>
      <c r="M65" s="11">
        <f t="shared" ref="M65:M82" si="22">+F65+I65</f>
        <v>1</v>
      </c>
      <c r="N65" s="83" t="s">
        <v>151</v>
      </c>
    </row>
    <row r="66" spans="1:14">
      <c r="A66">
        <v>4612</v>
      </c>
      <c r="B66" t="s">
        <v>50</v>
      </c>
      <c r="C66" s="15"/>
      <c r="D66" s="6">
        <f>'Cost Allocations-Recycle'!G66</f>
        <v>48942.785610987317</v>
      </c>
      <c r="F66" s="108">
        <f t="shared" ref="F66:F71" si="23">+F65</f>
        <v>0.91351190166467511</v>
      </c>
      <c r="G66" s="87">
        <f t="shared" si="19"/>
        <v>44709.817156259523</v>
      </c>
      <c r="H66" s="83"/>
      <c r="I66" s="26">
        <f>+I65</f>
        <v>8.6488098335324948E-2</v>
      </c>
      <c r="J66" s="6">
        <f t="shared" si="20"/>
        <v>4232.9684547277984</v>
      </c>
      <c r="L66" s="6">
        <f t="shared" si="21"/>
        <v>48942.785610987325</v>
      </c>
      <c r="M66" s="11">
        <f t="shared" si="22"/>
        <v>1</v>
      </c>
      <c r="N66" s="83" t="s">
        <v>151</v>
      </c>
    </row>
    <row r="67" spans="1:14">
      <c r="A67">
        <v>4613</v>
      </c>
      <c r="B67" t="s">
        <v>51</v>
      </c>
      <c r="C67" s="26"/>
      <c r="D67" s="6">
        <f>'Cost Allocations-Recycle'!G67</f>
        <v>103790.72785852161</v>
      </c>
      <c r="F67" s="26">
        <f t="shared" si="23"/>
        <v>0.91351190166467511</v>
      </c>
      <c r="G67" s="6">
        <f t="shared" si="19"/>
        <v>94814.06518119885</v>
      </c>
      <c r="I67" s="26">
        <f>+I66</f>
        <v>8.6488098335324948E-2</v>
      </c>
      <c r="J67" s="6">
        <f t="shared" si="20"/>
        <v>8976.6626773227672</v>
      </c>
      <c r="L67" s="6">
        <f t="shared" si="21"/>
        <v>103790.72785852161</v>
      </c>
      <c r="M67" s="11">
        <f t="shared" si="22"/>
        <v>1</v>
      </c>
      <c r="N67" t="str">
        <f t="shared" si="7"/>
        <v xml:space="preserve"> </v>
      </c>
    </row>
    <row r="68" spans="1:14">
      <c r="A68">
        <v>4620</v>
      </c>
      <c r="B68" t="s">
        <v>52</v>
      </c>
      <c r="C68" s="26"/>
      <c r="D68" s="6">
        <f>'Cost Allocations-Recycle'!G68</f>
        <v>38722.71579968369</v>
      </c>
      <c r="F68" s="11">
        <f t="shared" si="23"/>
        <v>0.91351190166467511</v>
      </c>
      <c r="G68" s="6">
        <f t="shared" si="19"/>
        <v>35373.661747789811</v>
      </c>
      <c r="I68" s="26">
        <f t="shared" ref="I68:I74" si="24">+I67</f>
        <v>8.6488098335324948E-2</v>
      </c>
      <c r="J68" s="6">
        <f t="shared" si="20"/>
        <v>3349.0540518938842</v>
      </c>
      <c r="L68" s="6">
        <f t="shared" si="21"/>
        <v>38722.715799683698</v>
      </c>
      <c r="M68" s="11">
        <f t="shared" si="22"/>
        <v>1</v>
      </c>
      <c r="N68" t="str">
        <f t="shared" si="7"/>
        <v xml:space="preserve"> </v>
      </c>
    </row>
    <row r="69" spans="1:14">
      <c r="A69">
        <v>4622</v>
      </c>
      <c r="B69" t="s">
        <v>53</v>
      </c>
      <c r="C69" s="26"/>
      <c r="D69" s="6">
        <f>'Cost Allocations-Recycle'!G69</f>
        <v>0</v>
      </c>
      <c r="F69" s="11">
        <f t="shared" si="23"/>
        <v>0.91351190166467511</v>
      </c>
      <c r="G69" s="6">
        <f t="shared" si="19"/>
        <v>0</v>
      </c>
      <c r="I69" s="26">
        <f t="shared" si="24"/>
        <v>8.6488098335324948E-2</v>
      </c>
      <c r="J69" s="6">
        <f t="shared" si="20"/>
        <v>0</v>
      </c>
      <c r="L69" s="6">
        <f t="shared" si="21"/>
        <v>0</v>
      </c>
      <c r="M69" s="11">
        <f t="shared" si="22"/>
        <v>1</v>
      </c>
      <c r="N69" t="str">
        <f t="shared" si="7"/>
        <v xml:space="preserve"> </v>
      </c>
    </row>
    <row r="70" spans="1:14">
      <c r="A70">
        <v>4624</v>
      </c>
      <c r="B70" t="s">
        <v>54</v>
      </c>
      <c r="C70" s="26"/>
      <c r="D70" s="6">
        <f>'Cost Allocations-Recycle'!G70</f>
        <v>742.10370418842956</v>
      </c>
      <c r="F70" s="11">
        <f t="shared" si="23"/>
        <v>0.91351190166467511</v>
      </c>
      <c r="G70" s="6">
        <f t="shared" si="19"/>
        <v>677.92056604557183</v>
      </c>
      <c r="I70" s="26">
        <f t="shared" si="24"/>
        <v>8.6488098335324948E-2</v>
      </c>
      <c r="J70" s="6">
        <f t="shared" si="20"/>
        <v>64.183138142857786</v>
      </c>
      <c r="L70" s="6">
        <f t="shared" si="21"/>
        <v>742.10370418842967</v>
      </c>
      <c r="M70" s="11">
        <f t="shared" si="22"/>
        <v>1</v>
      </c>
      <c r="N70" t="str">
        <f t="shared" si="7"/>
        <v xml:space="preserve"> </v>
      </c>
    </row>
    <row r="71" spans="1:14">
      <c r="A71">
        <v>4625</v>
      </c>
      <c r="B71" t="s">
        <v>55</v>
      </c>
      <c r="C71" s="26"/>
      <c r="D71" s="6">
        <f>'Cost Allocations-Recycle'!G71</f>
        <v>2451.5609437247094</v>
      </c>
      <c r="F71" s="11">
        <f t="shared" si="23"/>
        <v>0.91351190166467511</v>
      </c>
      <c r="G71" s="6">
        <f t="shared" si="19"/>
        <v>2239.5300997488048</v>
      </c>
      <c r="I71" s="26">
        <f t="shared" si="24"/>
        <v>8.6488098335324948E-2</v>
      </c>
      <c r="J71" s="6">
        <f t="shared" si="20"/>
        <v>212.0308439759047</v>
      </c>
      <c r="L71" s="6">
        <f t="shared" si="21"/>
        <v>2451.5609437247094</v>
      </c>
      <c r="M71" s="11">
        <f t="shared" si="22"/>
        <v>1</v>
      </c>
      <c r="N71" t="str">
        <f t="shared" si="7"/>
        <v xml:space="preserve"> </v>
      </c>
    </row>
    <row r="72" spans="1:14">
      <c r="A72">
        <v>4627</v>
      </c>
      <c r="B72" t="s">
        <v>56</v>
      </c>
      <c r="C72" s="26"/>
      <c r="D72" s="6">
        <f>'Cost Allocations-Recycle'!G72</f>
        <v>574.48966259906013</v>
      </c>
      <c r="F72" s="11">
        <f>F71</f>
        <v>0.91351190166467511</v>
      </c>
      <c r="G72" s="6">
        <f t="shared" si="19"/>
        <v>524.80314416756494</v>
      </c>
      <c r="I72" s="26">
        <f t="shared" si="24"/>
        <v>8.6488098335324948E-2</v>
      </c>
      <c r="J72" s="6">
        <f t="shared" si="20"/>
        <v>49.686518431495166</v>
      </c>
      <c r="L72" s="6">
        <f t="shared" si="21"/>
        <v>574.48966259906013</v>
      </c>
      <c r="M72" s="11">
        <f t="shared" si="22"/>
        <v>1</v>
      </c>
      <c r="N72" t="str">
        <f t="shared" si="7"/>
        <v xml:space="preserve"> </v>
      </c>
    </row>
    <row r="73" spans="1:14">
      <c r="A73">
        <v>4630</v>
      </c>
      <c r="B73" t="s">
        <v>57</v>
      </c>
      <c r="C73" s="11"/>
      <c r="D73" s="6">
        <f>'Cost Allocations-Recycle'!G74</f>
        <v>419.15486250556808</v>
      </c>
      <c r="F73" s="11">
        <f>F72</f>
        <v>0.91351190166467511</v>
      </c>
      <c r="G73" s="6">
        <f t="shared" si="19"/>
        <v>382.90295553945691</v>
      </c>
      <c r="I73" s="26">
        <f t="shared" si="24"/>
        <v>8.6488098335324948E-2</v>
      </c>
      <c r="J73" s="6">
        <f t="shared" si="20"/>
        <v>36.251906966111179</v>
      </c>
      <c r="L73" s="6">
        <f t="shared" si="21"/>
        <v>419.15486250556808</v>
      </c>
      <c r="M73" s="11">
        <f t="shared" si="22"/>
        <v>1</v>
      </c>
      <c r="N73" t="str">
        <f t="shared" si="7"/>
        <v xml:space="preserve"> </v>
      </c>
    </row>
    <row r="74" spans="1:14">
      <c r="A74">
        <v>4640</v>
      </c>
      <c r="B74" t="s">
        <v>58</v>
      </c>
      <c r="C74" s="26"/>
      <c r="D74" s="6">
        <f>'Cost Allocations-Recycle'!G75</f>
        <v>12203.498216247111</v>
      </c>
      <c r="F74" s="11">
        <f>F73</f>
        <v>0.91351190166467511</v>
      </c>
      <c r="G74" s="6">
        <f t="shared" si="19"/>
        <v>11148.04086248537</v>
      </c>
      <c r="I74" s="26">
        <f t="shared" si="24"/>
        <v>8.6488098335324948E-2</v>
      </c>
      <c r="J74" s="6">
        <f t="shared" si="20"/>
        <v>1055.4573537617428</v>
      </c>
      <c r="L74" s="6">
        <f t="shared" si="21"/>
        <v>12203.498216247113</v>
      </c>
      <c r="M74" s="11">
        <f t="shared" si="22"/>
        <v>1</v>
      </c>
      <c r="N74" t="str">
        <f t="shared" si="7"/>
        <v xml:space="preserve"> </v>
      </c>
    </row>
    <row r="75" spans="1:14">
      <c r="A75">
        <v>4650</v>
      </c>
      <c r="B75" t="s">
        <v>59</v>
      </c>
      <c r="C75" s="26"/>
      <c r="D75" s="6">
        <f>'Cost Allocations-Recycle'!G77</f>
        <v>83555.04884305282</v>
      </c>
      <c r="F75" s="106">
        <f>+$F$65</f>
        <v>0.91351190166467511</v>
      </c>
      <c r="G75" s="6">
        <f t="shared" si="19"/>
        <v>76328.531562302</v>
      </c>
      <c r="I75" s="11">
        <f>+$I$65</f>
        <v>8.6488098335324948E-2</v>
      </c>
      <c r="J75" s="6">
        <f t="shared" si="20"/>
        <v>7226.5172807508316</v>
      </c>
      <c r="L75" s="6">
        <f t="shared" si="21"/>
        <v>83555.048843052835</v>
      </c>
      <c r="M75" s="11">
        <f t="shared" si="22"/>
        <v>1</v>
      </c>
      <c r="N75" t="str">
        <f t="shared" si="7"/>
        <v xml:space="preserve"> </v>
      </c>
    </row>
    <row r="76" spans="1:14">
      <c r="A76">
        <v>4652</v>
      </c>
      <c r="B76" t="s">
        <v>60</v>
      </c>
      <c r="C76" s="26"/>
      <c r="D76" s="6">
        <f>'Cost Allocations-Recycle'!G78</f>
        <v>8529.2425788383007</v>
      </c>
      <c r="F76" s="106">
        <f>+$F$65</f>
        <v>0.91351190166467511</v>
      </c>
      <c r="G76" s="6">
        <f t="shared" si="19"/>
        <v>7791.5646079538938</v>
      </c>
      <c r="I76" s="11">
        <f>+$I$65</f>
        <v>8.6488098335324948E-2</v>
      </c>
      <c r="J76" s="6">
        <f t="shared" si="20"/>
        <v>737.6779708844075</v>
      </c>
      <c r="L76" s="6">
        <f t="shared" si="21"/>
        <v>8529.2425788383007</v>
      </c>
      <c r="M76" s="11">
        <f t="shared" si="22"/>
        <v>1</v>
      </c>
      <c r="N76" t="str">
        <f t="shared" si="7"/>
        <v xml:space="preserve"> </v>
      </c>
    </row>
    <row r="77" spans="1:14">
      <c r="A77">
        <v>4660</v>
      </c>
      <c r="B77" t="s">
        <v>61</v>
      </c>
      <c r="C77" s="15"/>
      <c r="D77" s="6">
        <f>'Cost Allocations-Recycle'!G79</f>
        <v>0</v>
      </c>
      <c r="F77" s="26">
        <v>1</v>
      </c>
      <c r="G77" s="87">
        <f t="shared" si="19"/>
        <v>0</v>
      </c>
      <c r="H77" s="83"/>
      <c r="I77" s="26">
        <v>0</v>
      </c>
      <c r="J77" s="6">
        <f t="shared" si="20"/>
        <v>0</v>
      </c>
      <c r="L77" s="6">
        <f t="shared" si="21"/>
        <v>0</v>
      </c>
      <c r="M77" s="11">
        <f t="shared" si="22"/>
        <v>1</v>
      </c>
      <c r="N77" t="str">
        <f t="shared" si="7"/>
        <v xml:space="preserve"> </v>
      </c>
    </row>
    <row r="78" spans="1:14">
      <c r="A78">
        <v>4670</v>
      </c>
      <c r="B78" t="s">
        <v>62</v>
      </c>
      <c r="C78" s="15"/>
      <c r="D78" s="6">
        <f>'Cost Allocations-Recycle'!G80</f>
        <v>0</v>
      </c>
      <c r="F78" s="26">
        <v>1</v>
      </c>
      <c r="G78" s="87">
        <f t="shared" si="19"/>
        <v>0</v>
      </c>
      <c r="H78" s="83"/>
      <c r="I78" s="26">
        <v>0</v>
      </c>
      <c r="J78" s="6">
        <f t="shared" si="20"/>
        <v>0</v>
      </c>
      <c r="L78" s="6">
        <f t="shared" si="21"/>
        <v>0</v>
      </c>
      <c r="M78" s="11">
        <f t="shared" si="22"/>
        <v>1</v>
      </c>
      <c r="N78" t="str">
        <f t="shared" si="7"/>
        <v xml:space="preserve"> </v>
      </c>
    </row>
    <row r="79" spans="1:14">
      <c r="A79">
        <v>4680</v>
      </c>
      <c r="B79" t="s">
        <v>63</v>
      </c>
      <c r="C79" s="15"/>
      <c r="D79" s="6">
        <f>'Cost Allocations-Recycle'!G81</f>
        <v>12945.166303638069</v>
      </c>
      <c r="F79" s="108">
        <f>1-I79</f>
        <v>0.76084503516730118</v>
      </c>
      <c r="G79" s="110">
        <f t="shared" si="19"/>
        <v>9849.2655115380694</v>
      </c>
      <c r="H79" s="111"/>
      <c r="I79" s="108">
        <f>J79/D79</f>
        <v>0.23915496483269882</v>
      </c>
      <c r="J79" s="6">
        <f>J22*D110</f>
        <v>3095.9007921000002</v>
      </c>
      <c r="L79" s="6">
        <f t="shared" si="21"/>
        <v>12945.166303638071</v>
      </c>
      <c r="M79" s="11">
        <f t="shared" si="22"/>
        <v>1</v>
      </c>
      <c r="N79" t="str">
        <f t="shared" si="7"/>
        <v xml:space="preserve"> </v>
      </c>
    </row>
    <row r="80" spans="1:14">
      <c r="A80">
        <v>4692</v>
      </c>
      <c r="B80" t="s">
        <v>64</v>
      </c>
      <c r="C80" s="26"/>
      <c r="D80" s="6">
        <f>'Cost Allocations-Recycle'!G82</f>
        <v>9264.1368193916387</v>
      </c>
      <c r="F80" s="11">
        <f>F74</f>
        <v>0.91351190166467511</v>
      </c>
      <c r="G80" s="6">
        <f t="shared" si="19"/>
        <v>8462.8992431641909</v>
      </c>
      <c r="I80" s="11">
        <f>I74</f>
        <v>8.6488098335324948E-2</v>
      </c>
      <c r="J80" s="6">
        <f t="shared" si="20"/>
        <v>801.23757622744859</v>
      </c>
      <c r="L80" s="6">
        <f t="shared" si="21"/>
        <v>9264.1368193916387</v>
      </c>
      <c r="M80" s="11">
        <f t="shared" si="22"/>
        <v>1</v>
      </c>
      <c r="N80" t="str">
        <f t="shared" si="7"/>
        <v xml:space="preserve"> </v>
      </c>
    </row>
    <row r="81" spans="1:14">
      <c r="A81">
        <v>4694</v>
      </c>
      <c r="B81" t="s">
        <v>65</v>
      </c>
      <c r="C81" s="11"/>
      <c r="D81" s="6">
        <f>'Cost Allocations-Recycle'!G83</f>
        <v>0</v>
      </c>
      <c r="F81" s="11">
        <f>+$F$65</f>
        <v>0.91351190166467511</v>
      </c>
      <c r="G81" s="6">
        <f t="shared" si="19"/>
        <v>0</v>
      </c>
      <c r="I81" s="11">
        <f>+$I$65</f>
        <v>8.6488098335324948E-2</v>
      </c>
      <c r="J81" s="6">
        <f t="shared" si="20"/>
        <v>0</v>
      </c>
      <c r="L81" s="6">
        <f t="shared" si="21"/>
        <v>0</v>
      </c>
      <c r="M81" s="11">
        <f t="shared" si="22"/>
        <v>1</v>
      </c>
      <c r="N81" t="str">
        <f t="shared" si="7"/>
        <v xml:space="preserve"> </v>
      </c>
    </row>
    <row r="82" spans="1:14">
      <c r="A82">
        <v>4698</v>
      </c>
      <c r="B82" t="s">
        <v>66</v>
      </c>
      <c r="C82" s="11"/>
      <c r="D82" s="6">
        <f>'Cost Allocations-Recycle'!G84</f>
        <v>678.60773044544328</v>
      </c>
      <c r="F82" s="11">
        <f>+$F$65</f>
        <v>0.91351190166467511</v>
      </c>
      <c r="G82" s="6">
        <f t="shared" si="19"/>
        <v>619.91623832356618</v>
      </c>
      <c r="I82" s="11">
        <f>+$I$65</f>
        <v>8.6488098335324948E-2</v>
      </c>
      <c r="J82" s="6">
        <f t="shared" si="20"/>
        <v>58.691492121877182</v>
      </c>
      <c r="L82" s="6">
        <f t="shared" si="21"/>
        <v>678.60773044544339</v>
      </c>
      <c r="M82" s="11">
        <f t="shared" si="22"/>
        <v>1</v>
      </c>
      <c r="N82" t="str">
        <f t="shared" si="7"/>
        <v xml:space="preserve"> </v>
      </c>
    </row>
    <row r="83" spans="1:14">
      <c r="A83" t="s">
        <v>19</v>
      </c>
      <c r="C83" s="11"/>
      <c r="D83" s="6"/>
      <c r="F83" s="11"/>
      <c r="G83" s="6"/>
      <c r="I83" s="11"/>
      <c r="J83" s="6"/>
      <c r="L83" s="6"/>
      <c r="M83" s="11"/>
    </row>
    <row r="84" spans="1:14">
      <c r="A84">
        <v>5010</v>
      </c>
      <c r="B84" t="s">
        <v>67</v>
      </c>
      <c r="C84" s="26"/>
      <c r="D84" s="6">
        <f>'Cost Allocations-Recycle'!G86</f>
        <v>224482.10791624029</v>
      </c>
      <c r="F84" s="26">
        <f>G84/(G84+J84)</f>
        <v>0.94996346369373819</v>
      </c>
      <c r="G84" s="6">
        <f>D84-J84</f>
        <v>213249.80077338315</v>
      </c>
      <c r="I84" s="27">
        <f>J84/(J84+G84)</f>
        <v>5.0036536306261765E-2</v>
      </c>
      <c r="J84" s="6">
        <f>'Depr Allocation'!E42+'Depr Allocation'!H42</f>
        <v>11232.307142857129</v>
      </c>
      <c r="L84" s="6">
        <f>+G84+J84</f>
        <v>224482.10791624029</v>
      </c>
      <c r="M84" s="11">
        <f>+F84+I84</f>
        <v>1</v>
      </c>
      <c r="N84" t="str">
        <f t="shared" si="7"/>
        <v xml:space="preserve"> </v>
      </c>
    </row>
    <row r="85" spans="1:14">
      <c r="A85">
        <v>5100</v>
      </c>
      <c r="B85" t="s">
        <v>68</v>
      </c>
      <c r="C85" s="26"/>
      <c r="D85" s="6">
        <f>'Cost Allocations-Recycle'!G87</f>
        <v>-6583.3939991542056</v>
      </c>
      <c r="F85" s="26">
        <v>1</v>
      </c>
      <c r="G85" s="87">
        <f>+D85*F85</f>
        <v>-6583.3939991542056</v>
      </c>
      <c r="H85" s="83"/>
      <c r="I85" s="26">
        <v>0</v>
      </c>
      <c r="J85" s="6">
        <f>+D85*I85</f>
        <v>0</v>
      </c>
      <c r="L85" s="6">
        <f>+G85+J85</f>
        <v>-6583.3939991542056</v>
      </c>
      <c r="M85" s="11">
        <f>+F85+I85</f>
        <v>1</v>
      </c>
      <c r="N85" t="str">
        <f t="shared" si="7"/>
        <v xml:space="preserve"> </v>
      </c>
    </row>
    <row r="86" spans="1:14">
      <c r="A86" t="s">
        <v>20</v>
      </c>
      <c r="C86" s="11"/>
      <c r="D86" s="6"/>
      <c r="F86" s="11"/>
      <c r="G86" s="6"/>
      <c r="I86" s="11"/>
      <c r="J86" s="6"/>
      <c r="L86" s="6"/>
      <c r="M86" s="11"/>
    </row>
    <row r="87" spans="1:14">
      <c r="A87">
        <v>5151</v>
      </c>
      <c r="B87" t="s">
        <v>69</v>
      </c>
      <c r="C87" s="15"/>
      <c r="D87" s="6">
        <f>'Cost Allocations-Recycle'!G89</f>
        <v>0</v>
      </c>
      <c r="F87" s="26">
        <v>1</v>
      </c>
      <c r="G87" s="87">
        <f>+D87*F87</f>
        <v>0</v>
      </c>
      <c r="H87" s="83"/>
      <c r="I87" s="26">
        <v>0</v>
      </c>
      <c r="J87" s="6">
        <f>+D87*I87</f>
        <v>0</v>
      </c>
      <c r="L87" s="6">
        <f>+G87+J87</f>
        <v>0</v>
      </c>
      <c r="M87" s="11">
        <f>+F87+I87</f>
        <v>1</v>
      </c>
      <c r="N87" t="str">
        <f t="shared" si="7"/>
        <v xml:space="preserve"> </v>
      </c>
    </row>
    <row r="88" spans="1:14">
      <c r="A88" t="s">
        <v>21</v>
      </c>
      <c r="C88" s="11"/>
      <c r="D88" s="6"/>
      <c r="F88" s="11"/>
      <c r="G88" s="6"/>
      <c r="I88" s="11"/>
      <c r="J88" s="6"/>
      <c r="L88" s="6"/>
      <c r="M88" s="11"/>
    </row>
    <row r="89" spans="1:14">
      <c r="A89">
        <v>5220</v>
      </c>
      <c r="B89" t="s">
        <v>70</v>
      </c>
      <c r="C89" s="11"/>
      <c r="D89" s="6">
        <f>'Cost Allocations-Recycle'!G91</f>
        <v>4802.1799175756814</v>
      </c>
      <c r="F89" s="400">
        <v>0.77</v>
      </c>
      <c r="G89" s="6">
        <f t="shared" ref="G89:G96" si="25">+D89*F89</f>
        <v>3697.6785365332748</v>
      </c>
      <c r="I89" s="400">
        <v>0.23</v>
      </c>
      <c r="J89" s="6">
        <f t="shared" ref="J89:J96" si="26">+D89*I89</f>
        <v>1104.5013810424068</v>
      </c>
      <c r="L89" s="6">
        <f t="shared" ref="L89:L96" si="27">+G89+J89</f>
        <v>4802.1799175756814</v>
      </c>
      <c r="M89" s="11">
        <f t="shared" ref="M89:M96" si="28">+F89+I89</f>
        <v>1</v>
      </c>
      <c r="N89" t="str">
        <f t="shared" si="7"/>
        <v xml:space="preserve"> </v>
      </c>
    </row>
    <row r="90" spans="1:14">
      <c r="A90">
        <v>5230</v>
      </c>
      <c r="B90" t="s">
        <v>71</v>
      </c>
      <c r="C90" s="11"/>
      <c r="D90" s="6">
        <f>'Cost Allocations-Recycle'!G92</f>
        <v>2193.8839694656485</v>
      </c>
      <c r="F90" s="400">
        <v>0.8</v>
      </c>
      <c r="G90" s="6">
        <f t="shared" si="25"/>
        <v>1755.1071755725188</v>
      </c>
      <c r="I90" s="400">
        <v>0.2</v>
      </c>
      <c r="J90" s="6">
        <f t="shared" si="26"/>
        <v>438.77679389312971</v>
      </c>
      <c r="L90" s="6">
        <f t="shared" si="27"/>
        <v>2193.8839694656485</v>
      </c>
      <c r="M90" s="11">
        <f t="shared" si="28"/>
        <v>1</v>
      </c>
      <c r="N90" t="str">
        <f t="shared" si="7"/>
        <v xml:space="preserve"> </v>
      </c>
    </row>
    <row r="91" spans="1:14">
      <c r="A91">
        <v>5240</v>
      </c>
      <c r="B91" t="s">
        <v>72</v>
      </c>
      <c r="C91" s="10">
        <v>7.6499999999999999E-2</v>
      </c>
      <c r="D91" s="6">
        <f>'Cost Allocations-Recycle'!G93</f>
        <v>45712.677850900938</v>
      </c>
      <c r="F91" s="11">
        <f>G91/D91</f>
        <v>0.89308557694745849</v>
      </c>
      <c r="G91" s="6">
        <f>D91-J91</f>
        <v>40825.33327228517</v>
      </c>
      <c r="I91" s="11">
        <f>J91/D91</f>
        <v>0.10691442305254149</v>
      </c>
      <c r="J91" s="6">
        <f>+J116*C91</f>
        <v>4887.3445786157663</v>
      </c>
      <c r="L91" s="6">
        <f t="shared" si="27"/>
        <v>45712.677850900938</v>
      </c>
      <c r="M91" s="11">
        <f t="shared" si="28"/>
        <v>1</v>
      </c>
      <c r="N91" t="str">
        <f t="shared" si="7"/>
        <v xml:space="preserve"> </v>
      </c>
    </row>
    <row r="92" spans="1:14">
      <c r="A92">
        <v>5241</v>
      </c>
      <c r="B92" t="s">
        <v>73</v>
      </c>
      <c r="C92" s="11">
        <v>6.0000000000000001E-3</v>
      </c>
      <c r="D92" s="6">
        <f>'Cost Allocations-Recycle'!G94</f>
        <v>344.8135653833649</v>
      </c>
      <c r="F92" s="11">
        <f>G92/D92</f>
        <v>-0.11167651711923413</v>
      </c>
      <c r="G92" s="6">
        <f>D92-J92</f>
        <v>-38.507578037479504</v>
      </c>
      <c r="I92" s="11">
        <f>J92/D92</f>
        <v>1.1116765171192342</v>
      </c>
      <c r="J92" s="6">
        <f>J116*C92</f>
        <v>383.32114342084441</v>
      </c>
      <c r="L92" s="6">
        <f t="shared" si="27"/>
        <v>344.8135653833649</v>
      </c>
      <c r="M92" s="11">
        <f t="shared" si="28"/>
        <v>1</v>
      </c>
      <c r="N92" t="str">
        <f t="shared" si="7"/>
        <v xml:space="preserve"> </v>
      </c>
    </row>
    <row r="93" spans="1:14">
      <c r="A93">
        <v>5242</v>
      </c>
      <c r="B93" t="s">
        <v>74</v>
      </c>
      <c r="C93" s="101">
        <v>1.2999999999999999E-3</v>
      </c>
      <c r="D93" s="6">
        <f>'Cost Allocations-Recycle'!G95</f>
        <v>5038.6491511453441</v>
      </c>
      <c r="F93" s="11">
        <f>G93/D93</f>
        <v>0.98351682923011796</v>
      </c>
      <c r="G93" s="6">
        <f>D93-J93</f>
        <v>4955.5962367374941</v>
      </c>
      <c r="I93" s="11">
        <f>J93/D93</f>
        <v>1.6483170769881986E-2</v>
      </c>
      <c r="J93" s="6">
        <f>J116*C93</f>
        <v>83.052914407849613</v>
      </c>
      <c r="L93" s="6">
        <f t="shared" si="27"/>
        <v>5038.6491511453441</v>
      </c>
      <c r="M93" s="11">
        <f t="shared" si="28"/>
        <v>1</v>
      </c>
      <c r="N93" t="str">
        <f t="shared" si="7"/>
        <v xml:space="preserve"> </v>
      </c>
    </row>
    <row r="94" spans="1:14">
      <c r="A94">
        <v>5260</v>
      </c>
      <c r="B94" t="s">
        <v>75</v>
      </c>
      <c r="C94" s="11"/>
      <c r="D94" s="6">
        <f>'Cost Allocations-Recycle'!G96</f>
        <v>46500.989534882647</v>
      </c>
      <c r="F94" s="11">
        <f>+F22</f>
        <v>0.76904943314023644</v>
      </c>
      <c r="G94" s="6">
        <f t="shared" si="25"/>
        <v>35761.559642261564</v>
      </c>
      <c r="I94" s="11">
        <f>+I22</f>
        <v>0.23095056685976359</v>
      </c>
      <c r="J94" s="6">
        <f t="shared" si="26"/>
        <v>10739.429892621081</v>
      </c>
      <c r="L94" s="6">
        <f t="shared" si="27"/>
        <v>46500.989534882647</v>
      </c>
      <c r="M94" s="11">
        <f t="shared" si="28"/>
        <v>1</v>
      </c>
      <c r="N94" t="str">
        <f t="shared" si="7"/>
        <v xml:space="preserve"> </v>
      </c>
    </row>
    <row r="95" spans="1:14">
      <c r="A95">
        <v>5270</v>
      </c>
      <c r="B95" t="s">
        <v>76</v>
      </c>
      <c r="C95" s="15"/>
      <c r="D95" s="6">
        <f>'Cost Allocations-Recycle'!G97</f>
        <v>7990.68</v>
      </c>
      <c r="F95" s="108">
        <f>1-I95</f>
        <v>0.70609403701754192</v>
      </c>
      <c r="G95" s="87">
        <f t="shared" si="25"/>
        <v>5642.1714997153322</v>
      </c>
      <c r="H95" s="83"/>
      <c r="I95" s="26">
        <f>E114</f>
        <v>0.29390596298245802</v>
      </c>
      <c r="J95" s="6">
        <f t="shared" si="26"/>
        <v>2348.5085002846677</v>
      </c>
      <c r="L95" s="6">
        <f t="shared" si="27"/>
        <v>7990.68</v>
      </c>
      <c r="M95" s="11">
        <f t="shared" si="28"/>
        <v>1</v>
      </c>
      <c r="N95" t="str">
        <f t="shared" si="7"/>
        <v xml:space="preserve"> </v>
      </c>
    </row>
    <row r="96" spans="1:14">
      <c r="A96">
        <v>5290</v>
      </c>
      <c r="B96" t="s">
        <v>77</v>
      </c>
      <c r="C96" s="11"/>
      <c r="D96" s="6">
        <f>'Cost Allocations-Recycle'!G98</f>
        <v>197.63655157320761</v>
      </c>
      <c r="F96" s="11">
        <f>F82</f>
        <v>0.91351190166467511</v>
      </c>
      <c r="G96" s="6">
        <f t="shared" si="25"/>
        <v>180.54334206608954</v>
      </c>
      <c r="I96" s="11">
        <f>I82</f>
        <v>8.6488098335324948E-2</v>
      </c>
      <c r="J96" s="6">
        <f t="shared" si="26"/>
        <v>17.0932095071181</v>
      </c>
      <c r="L96" s="6">
        <f t="shared" si="27"/>
        <v>197.63655157320764</v>
      </c>
      <c r="M96" s="11">
        <f t="shared" si="28"/>
        <v>1</v>
      </c>
      <c r="N96" t="str">
        <f t="shared" si="7"/>
        <v xml:space="preserve"> </v>
      </c>
    </row>
    <row r="97" spans="1:14">
      <c r="A97" t="s">
        <v>22</v>
      </c>
      <c r="C97" s="11"/>
      <c r="D97" s="6"/>
      <c r="F97" s="11"/>
      <c r="G97" s="6"/>
      <c r="I97" s="11"/>
      <c r="J97" s="6"/>
      <c r="L97" s="6"/>
      <c r="M97" s="11"/>
    </row>
    <row r="98" spans="1:14">
      <c r="A98">
        <v>5320</v>
      </c>
      <c r="B98" t="s">
        <v>78</v>
      </c>
      <c r="C98" s="11"/>
      <c r="D98" s="6">
        <f>'Cost Allocations-Recycle'!G100</f>
        <v>80019.480342230585</v>
      </c>
      <c r="F98" s="11">
        <f>D12/(D12+D15)</f>
        <v>0.8934331075438422</v>
      </c>
      <c r="G98" s="6">
        <f>+D98*F98</f>
        <v>71492.05298620247</v>
      </c>
      <c r="I98" s="11">
        <f>D15/(D15+D12)</f>
        <v>0.10656689245615789</v>
      </c>
      <c r="J98" s="6">
        <f>+D98*I98</f>
        <v>8527.4273560281272</v>
      </c>
      <c r="L98" s="6">
        <f>+G98+J98</f>
        <v>80019.480342230599</v>
      </c>
      <c r="M98" s="11">
        <f>+F98+I98</f>
        <v>1</v>
      </c>
      <c r="N98" s="83" t="s">
        <v>374</v>
      </c>
    </row>
    <row r="99" spans="1:14" ht="13.5" thickBot="1">
      <c r="A99">
        <v>5322</v>
      </c>
      <c r="B99" s="83" t="s">
        <v>373</v>
      </c>
      <c r="C99" s="12"/>
      <c r="D99" s="7">
        <f>'Cost Allocations-Recycle'!G101</f>
        <v>0</v>
      </c>
      <c r="E99" s="5"/>
      <c r="F99" s="12">
        <v>1</v>
      </c>
      <c r="G99" s="7">
        <f>+D99*F99</f>
        <v>0</v>
      </c>
      <c r="H99" s="5"/>
      <c r="I99" s="12">
        <v>0</v>
      </c>
      <c r="J99" s="7">
        <f>+D99*I99</f>
        <v>0</v>
      </c>
      <c r="K99" s="5"/>
      <c r="L99" s="7">
        <f>+G99+J99</f>
        <v>0</v>
      </c>
      <c r="M99" s="12">
        <f>+F99+I99</f>
        <v>1</v>
      </c>
      <c r="N99" t="str">
        <f t="shared" si="7"/>
        <v xml:space="preserve"> </v>
      </c>
    </row>
    <row r="100" spans="1:14">
      <c r="C100" s="11"/>
      <c r="D100" s="6"/>
      <c r="F100" s="11"/>
      <c r="I100" s="11"/>
      <c r="M100" s="11"/>
    </row>
    <row r="101" spans="1:14" ht="13.5" thickBot="1">
      <c r="B101" t="s">
        <v>23</v>
      </c>
      <c r="C101" s="12"/>
      <c r="D101" s="7">
        <f>SUM(D26:D99)</f>
        <v>2484560.3435185594</v>
      </c>
      <c r="E101" s="5"/>
      <c r="F101" s="12">
        <f>+G101/D101</f>
        <v>0.78606246257863688</v>
      </c>
      <c r="G101" s="7">
        <f>SUM(G26:G99)</f>
        <v>1953019.6220514227</v>
      </c>
      <c r="H101" s="5"/>
      <c r="I101" s="12">
        <f>+J101/D101</f>
        <v>0.21393753742136257</v>
      </c>
      <c r="J101" s="7">
        <f>SUM(J26:J99)</f>
        <v>531540.72146713524</v>
      </c>
      <c r="K101" s="5"/>
      <c r="L101" s="7">
        <f>SUM(L26:L99)</f>
        <v>2484560.3435185594</v>
      </c>
      <c r="M101" s="12">
        <f>+F101+I101</f>
        <v>0.99999999999999944</v>
      </c>
    </row>
    <row r="102" spans="1:14">
      <c r="C102" s="11"/>
      <c r="D102" s="6"/>
      <c r="F102" s="11"/>
      <c r="G102" s="6"/>
      <c r="I102" s="11"/>
      <c r="J102" s="6"/>
      <c r="L102" s="6"/>
      <c r="M102" s="11"/>
    </row>
    <row r="103" spans="1:14" ht="13.5" thickBot="1">
      <c r="B103" t="s">
        <v>24</v>
      </c>
      <c r="C103" s="14"/>
      <c r="D103" s="8">
        <f>+D22-D101</f>
        <v>143878.19748144085</v>
      </c>
      <c r="E103" s="13"/>
      <c r="F103" s="14">
        <f>+G103/D103</f>
        <v>0.47525997090280386</v>
      </c>
      <c r="G103" s="8">
        <f>+G22-G101</f>
        <v>68379.547948577441</v>
      </c>
      <c r="H103" s="13"/>
      <c r="I103" s="14">
        <f>+J103/D103</f>
        <v>0.52474002909720585</v>
      </c>
      <c r="J103" s="8">
        <f>+J22-J101</f>
        <v>75498.649532864802</v>
      </c>
      <c r="K103" s="13"/>
      <c r="L103" s="8">
        <f>+L22-L101</f>
        <v>143878.19748144085</v>
      </c>
      <c r="M103" s="14">
        <f>+F103+I103</f>
        <v>1.0000000000000098</v>
      </c>
    </row>
    <row r="104" spans="1:14" ht="13.5" thickTop="1">
      <c r="C104" s="11"/>
      <c r="D104" s="6"/>
      <c r="F104" s="11"/>
      <c r="G104" s="6"/>
      <c r="I104" s="11"/>
      <c r="J104" s="6"/>
      <c r="L104" s="6"/>
      <c r="M104" s="11"/>
    </row>
    <row r="105" spans="1:14">
      <c r="B105" t="s">
        <v>102</v>
      </c>
      <c r="C105" s="11"/>
      <c r="D105" s="10">
        <f>+D101/D22</f>
        <v>0.94526096188397013</v>
      </c>
      <c r="F105" s="11"/>
      <c r="G105" s="10">
        <f>+G101/G22</f>
        <v>0.96617216977061615</v>
      </c>
      <c r="I105" s="11"/>
      <c r="J105" s="10">
        <f>+J101/J22</f>
        <v>0.87562808420730132</v>
      </c>
      <c r="L105" s="10">
        <f>+L101/L22</f>
        <v>0.94526096188397013</v>
      </c>
      <c r="M105" s="11"/>
    </row>
    <row r="107" spans="1:14">
      <c r="J107" s="83" t="s">
        <v>326</v>
      </c>
    </row>
    <row r="110" spans="1:14">
      <c r="B110" s="83" t="s">
        <v>381</v>
      </c>
      <c r="D110">
        <v>5.1000000000000004E-3</v>
      </c>
    </row>
    <row r="112" spans="1:14">
      <c r="B112" s="83" t="s">
        <v>382</v>
      </c>
    </row>
    <row r="113" spans="2:10">
      <c r="B113" s="109" t="s">
        <v>383</v>
      </c>
      <c r="D113" s="731">
        <v>1861820</v>
      </c>
      <c r="F113" s="643" t="s">
        <v>1427</v>
      </c>
      <c r="G113" s="643" t="s">
        <v>1428</v>
      </c>
    </row>
    <row r="114" spans="2:10">
      <c r="B114" s="109" t="s">
        <v>384</v>
      </c>
      <c r="D114" s="731">
        <v>547200</v>
      </c>
      <c r="E114" s="94">
        <f>D114/D113</f>
        <v>0.29390596298245802</v>
      </c>
    </row>
    <row r="116" spans="2:10">
      <c r="B116" s="83" t="s">
        <v>365</v>
      </c>
      <c r="D116" s="79">
        <f>+D26+D27+D28+D29+D30+D41+D42+D43+D44+D45+D65+D66+D67</f>
        <v>647945.37919813697</v>
      </c>
      <c r="G116" s="79">
        <f>+G26+G27+G28+G29+G30+G41+G42+G43+G44+G45+G65+G66+G67</f>
        <v>584058.52196132962</v>
      </c>
      <c r="J116" s="79">
        <f>+J26+J27+J28+J29+J30+J41+J42+J43+J44+J45+J65+J66+J67</f>
        <v>63886.857236807402</v>
      </c>
    </row>
  </sheetData>
  <mergeCells count="7">
    <mergeCell ref="C8:D8"/>
    <mergeCell ref="F8:G8"/>
    <mergeCell ref="I8:J8"/>
    <mergeCell ref="I6:J6"/>
    <mergeCell ref="C7:D7"/>
    <mergeCell ref="F7:G7"/>
    <mergeCell ref="I7:J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66"/>
  <sheetViews>
    <sheetView topLeftCell="A43" zoomScaleNormal="100" workbookViewId="0">
      <selection activeCell="E5" sqref="E5"/>
    </sheetView>
  </sheetViews>
  <sheetFormatPr defaultRowHeight="12.75"/>
  <cols>
    <col min="1" max="1" width="13" customWidth="1"/>
    <col min="2" max="2" width="9.7109375" bestFit="1" customWidth="1"/>
    <col min="3" max="3" width="10.28515625" bestFit="1" customWidth="1"/>
    <col min="4" max="4" width="13" customWidth="1"/>
    <col min="5" max="5" width="11.5703125" customWidth="1"/>
    <col min="6" max="8" width="11.140625" customWidth="1"/>
    <col min="9" max="9" width="11.5703125" customWidth="1"/>
    <col min="10" max="12" width="10.28515625" customWidth="1"/>
    <col min="13" max="13" width="12.5703125" customWidth="1"/>
    <col min="14" max="14" width="9.7109375" bestFit="1" customWidth="1"/>
    <col min="16" max="16" width="3.85546875" customWidth="1"/>
    <col min="17" max="17" width="4.28515625" customWidth="1"/>
    <col min="21" max="21" width="11.5703125" customWidth="1"/>
    <col min="22" max="22" width="12.85546875" customWidth="1"/>
    <col min="23" max="23" width="10.42578125" customWidth="1"/>
    <col min="24" max="24" width="10.7109375" bestFit="1" customWidth="1"/>
    <col min="25" max="26" width="9.7109375" bestFit="1" customWidth="1"/>
    <col min="28" max="28" width="9.7109375" bestFit="1" customWidth="1"/>
    <col min="30" max="30" width="13" customWidth="1"/>
  </cols>
  <sheetData>
    <row r="1" spans="1:31">
      <c r="A1" t="s">
        <v>0</v>
      </c>
    </row>
    <row r="3" spans="1:31">
      <c r="A3" t="s">
        <v>189</v>
      </c>
      <c r="D3" s="643" t="s">
        <v>1342</v>
      </c>
      <c r="E3" s="643" t="s">
        <v>689</v>
      </c>
    </row>
    <row r="5" spans="1:31">
      <c r="A5" s="668" t="s">
        <v>1434</v>
      </c>
    </row>
    <row r="6" spans="1:31">
      <c r="F6" s="127" t="s">
        <v>189</v>
      </c>
      <c r="V6" s="127" t="s">
        <v>1151</v>
      </c>
    </row>
    <row r="9" spans="1:31">
      <c r="D9" s="2" t="s">
        <v>190</v>
      </c>
      <c r="E9" s="2" t="s">
        <v>262</v>
      </c>
      <c r="F9" s="2"/>
      <c r="G9" s="2"/>
      <c r="H9" s="2" t="s">
        <v>262</v>
      </c>
      <c r="I9" s="2" t="s">
        <v>193</v>
      </c>
      <c r="J9" s="2" t="s">
        <v>194</v>
      </c>
      <c r="K9" s="90" t="s">
        <v>340</v>
      </c>
      <c r="L9" s="90" t="s">
        <v>341</v>
      </c>
      <c r="M9" s="2"/>
      <c r="N9" s="2"/>
      <c r="U9" s="2" t="s">
        <v>190</v>
      </c>
      <c r="V9" s="2" t="s">
        <v>262</v>
      </c>
      <c r="W9" s="2"/>
      <c r="X9" s="2"/>
      <c r="Y9" s="2" t="s">
        <v>262</v>
      </c>
      <c r="Z9" s="2" t="s">
        <v>193</v>
      </c>
      <c r="AA9" s="2" t="s">
        <v>194</v>
      </c>
      <c r="AB9" s="90" t="s">
        <v>340</v>
      </c>
      <c r="AC9" s="90" t="s">
        <v>341</v>
      </c>
      <c r="AD9" s="2"/>
      <c r="AE9" s="2"/>
    </row>
    <row r="10" spans="1:31" ht="13.5" thickBot="1">
      <c r="D10" s="20" t="s">
        <v>191</v>
      </c>
      <c r="E10" s="20" t="s">
        <v>191</v>
      </c>
      <c r="F10" s="20" t="s">
        <v>192</v>
      </c>
      <c r="G10" s="20" t="s">
        <v>315</v>
      </c>
      <c r="H10" s="20" t="s">
        <v>192</v>
      </c>
      <c r="I10" s="20" t="s">
        <v>191</v>
      </c>
      <c r="J10" s="20" t="s">
        <v>191</v>
      </c>
      <c r="K10" s="92" t="s">
        <v>315</v>
      </c>
      <c r="L10" s="92" t="s">
        <v>191</v>
      </c>
      <c r="M10" s="20" t="s">
        <v>2</v>
      </c>
      <c r="N10" s="2"/>
      <c r="U10" s="20" t="s">
        <v>191</v>
      </c>
      <c r="V10" s="20" t="s">
        <v>191</v>
      </c>
      <c r="W10" s="20" t="s">
        <v>192</v>
      </c>
      <c r="X10" s="20" t="s">
        <v>315</v>
      </c>
      <c r="Y10" s="20" t="s">
        <v>192</v>
      </c>
      <c r="Z10" s="20" t="s">
        <v>191</v>
      </c>
      <c r="AA10" s="20" t="s">
        <v>191</v>
      </c>
      <c r="AB10" s="92" t="s">
        <v>315</v>
      </c>
      <c r="AC10" s="92" t="s">
        <v>191</v>
      </c>
      <c r="AD10" s="20" t="s">
        <v>2</v>
      </c>
      <c r="AE10" s="2"/>
    </row>
    <row r="12" spans="1:31">
      <c r="A12" t="s">
        <v>104</v>
      </c>
      <c r="D12" s="6">
        <f>+D18-D14-D16</f>
        <v>181346.39771542026</v>
      </c>
      <c r="E12" s="6">
        <f t="shared" ref="E12:J12" si="0">+E18-E14-E16</f>
        <v>753.85714285714289</v>
      </c>
      <c r="F12" s="6">
        <f t="shared" si="0"/>
        <v>20154.515648854955</v>
      </c>
      <c r="G12" s="6">
        <f>+G18-G14-G16</f>
        <v>16512.641745213547</v>
      </c>
      <c r="H12" s="6">
        <f t="shared" si="0"/>
        <v>10478.449999999986</v>
      </c>
      <c r="I12" s="6">
        <f t="shared" si="0"/>
        <v>3170.4343256683433</v>
      </c>
      <c r="J12" s="6">
        <f t="shared" si="0"/>
        <v>556.98213896874927</v>
      </c>
      <c r="K12" s="6">
        <f>+K18-K14-K16</f>
        <v>2969.2999999999997</v>
      </c>
      <c r="L12" s="6">
        <f>+L18-L14-L16</f>
        <v>670.28571428571422</v>
      </c>
      <c r="M12" s="6">
        <f>SUM(D12:L12)</f>
        <v>236612.86443126865</v>
      </c>
      <c r="N12" s="10">
        <f>+M12/M18</f>
        <v>0.88012949037891774</v>
      </c>
      <c r="R12" t="s">
        <v>104</v>
      </c>
      <c r="U12" s="6">
        <f t="shared" ref="U12:AC12" si="1">+U18-U14-U16</f>
        <v>677256.65339504031</v>
      </c>
      <c r="V12" s="6">
        <f t="shared" si="1"/>
        <v>4460.3214285714321</v>
      </c>
      <c r="W12" s="6">
        <f t="shared" si="1"/>
        <v>166102.66755725187</v>
      </c>
      <c r="X12" s="6">
        <f t="shared" si="1"/>
        <v>68847.490667736172</v>
      </c>
      <c r="Y12" s="6">
        <f t="shared" si="1"/>
        <v>71742.191666666666</v>
      </c>
      <c r="Z12" s="6">
        <f t="shared" si="1"/>
        <v>22841.104193594318</v>
      </c>
      <c r="AA12" s="6">
        <f t="shared" si="1"/>
        <v>1864.0249497270227</v>
      </c>
      <c r="AB12" s="6">
        <f t="shared" si="1"/>
        <v>16519.758333333346</v>
      </c>
      <c r="AC12" s="6">
        <f t="shared" si="1"/>
        <v>1691.7142857142828</v>
      </c>
      <c r="AD12" s="6">
        <f>SUM(U12:AC12)</f>
        <v>1031325.9264776354</v>
      </c>
      <c r="AE12" s="10">
        <f>+AD12/AD18</f>
        <v>0.8866153168474149</v>
      </c>
    </row>
    <row r="13" spans="1:31">
      <c r="D13" s="6"/>
      <c r="E13" s="6"/>
      <c r="F13" s="6"/>
      <c r="G13" s="6"/>
      <c r="H13" s="6"/>
      <c r="I13" s="6"/>
      <c r="J13" s="6"/>
      <c r="K13" s="6"/>
      <c r="L13" s="6"/>
      <c r="M13" s="6"/>
      <c r="N13" s="10"/>
      <c r="U13" s="6"/>
      <c r="V13" s="6"/>
      <c r="W13" s="6"/>
      <c r="X13" s="6"/>
      <c r="Y13" s="6"/>
      <c r="Z13" s="6"/>
      <c r="AA13" s="6"/>
      <c r="AB13" s="6"/>
      <c r="AC13" s="6"/>
      <c r="AD13" s="6"/>
      <c r="AE13" s="10"/>
    </row>
    <row r="14" spans="1:31">
      <c r="A14" t="s">
        <v>116</v>
      </c>
      <c r="D14" s="6">
        <f>+D18*D26</f>
        <v>17881.770936895788</v>
      </c>
      <c r="E14" s="6">
        <f t="shared" ref="E14:L14" si="2">+E18*E26</f>
        <v>0</v>
      </c>
      <c r="F14" s="6">
        <f t="shared" si="2"/>
        <v>1250.3264337715575</v>
      </c>
      <c r="G14" s="6">
        <f t="shared" si="2"/>
        <v>2801.3664594992633</v>
      </c>
      <c r="H14" s="6">
        <f t="shared" si="2"/>
        <v>0</v>
      </c>
      <c r="I14" s="6">
        <f t="shared" si="2"/>
        <v>312.62258912382157</v>
      </c>
      <c r="J14" s="6">
        <f t="shared" si="2"/>
        <v>62.885421039758945</v>
      </c>
      <c r="K14" s="6">
        <f t="shared" si="2"/>
        <v>0</v>
      </c>
      <c r="L14" s="6">
        <f t="shared" si="2"/>
        <v>0</v>
      </c>
      <c r="M14" s="6">
        <f>SUM(D14:L14)</f>
        <v>22308.971840330189</v>
      </c>
      <c r="N14" s="10">
        <f>+M14/M18</f>
        <v>8.2982740874644842E-2</v>
      </c>
      <c r="R14" t="s">
        <v>116</v>
      </c>
      <c r="U14" s="6">
        <f>+U18*U26</f>
        <v>66781.300836773938</v>
      </c>
      <c r="V14" s="6">
        <f t="shared" ref="V14:AC14" si="3">+V18*V26</f>
        <v>0</v>
      </c>
      <c r="W14" s="6">
        <f t="shared" si="3"/>
        <v>10304.517339199885</v>
      </c>
      <c r="X14" s="6">
        <f t="shared" si="3"/>
        <v>11679.963397328007</v>
      </c>
      <c r="Y14" s="6">
        <f t="shared" si="3"/>
        <v>0</v>
      </c>
      <c r="Z14" s="6">
        <f t="shared" si="3"/>
        <v>2252.2608570178008</v>
      </c>
      <c r="AA14" s="6">
        <f t="shared" si="3"/>
        <v>210.45557045910263</v>
      </c>
      <c r="AB14" s="6">
        <f t="shared" si="3"/>
        <v>0</v>
      </c>
      <c r="AC14" s="6">
        <f t="shared" si="3"/>
        <v>0</v>
      </c>
      <c r="AD14" s="6">
        <f>SUM(U14:AC14)</f>
        <v>91228.498000778724</v>
      </c>
      <c r="AE14" s="10">
        <f>+AD14/AD18</f>
        <v>7.842776137387078E-2</v>
      </c>
    </row>
    <row r="15" spans="1:31">
      <c r="D15" s="6"/>
      <c r="E15" s="6"/>
      <c r="F15" s="6"/>
      <c r="G15" s="6"/>
      <c r="H15" s="6"/>
      <c r="I15" s="6"/>
      <c r="J15" s="6"/>
      <c r="K15" s="6"/>
      <c r="L15" s="6"/>
      <c r="M15" s="6"/>
      <c r="N15" s="10"/>
      <c r="U15" s="6"/>
      <c r="V15" s="6"/>
      <c r="W15" s="6"/>
      <c r="X15" s="6"/>
      <c r="Y15" s="6"/>
      <c r="Z15" s="6"/>
      <c r="AA15" s="6"/>
      <c r="AB15" s="6"/>
      <c r="AC15" s="6"/>
      <c r="AD15" s="6"/>
      <c r="AE15" s="10"/>
    </row>
    <row r="16" spans="1:31">
      <c r="A16" t="s">
        <v>117</v>
      </c>
      <c r="D16" s="43">
        <f t="shared" ref="D16:I16" si="4">+D18*D27</f>
        <v>8105.6884905410907</v>
      </c>
      <c r="E16" s="43">
        <f t="shared" si="4"/>
        <v>0</v>
      </c>
      <c r="F16" s="43">
        <f t="shared" si="4"/>
        <v>597.17083404014681</v>
      </c>
      <c r="G16" s="43">
        <f>+G18*G27</f>
        <v>1045.1581286205203</v>
      </c>
      <c r="H16" s="43">
        <f t="shared" si="4"/>
        <v>0</v>
      </c>
      <c r="I16" s="43">
        <f t="shared" si="4"/>
        <v>141.70975187449829</v>
      </c>
      <c r="J16" s="43">
        <f>+J18*J27</f>
        <v>27.132439991491776</v>
      </c>
      <c r="K16" s="43">
        <f>+K18*K27</f>
        <v>0</v>
      </c>
      <c r="L16" s="43">
        <f>+L18*L27</f>
        <v>0</v>
      </c>
      <c r="M16" s="43">
        <f>SUM(D16:L16)</f>
        <v>9916.8596450677469</v>
      </c>
      <c r="N16" s="74">
        <f>+M16/M18</f>
        <v>3.6887768746437191E-2</v>
      </c>
      <c r="R16" t="s">
        <v>117</v>
      </c>
      <c r="U16" s="43">
        <f t="shared" ref="U16:AC16" si="5">+U18*U27</f>
        <v>30271.521958661764</v>
      </c>
      <c r="V16" s="43">
        <f t="shared" si="5"/>
        <v>0</v>
      </c>
      <c r="W16" s="43">
        <f t="shared" si="5"/>
        <v>4921.5605202148708</v>
      </c>
      <c r="X16" s="43">
        <f t="shared" si="5"/>
        <v>4357.6621849358316</v>
      </c>
      <c r="Y16" s="43">
        <f t="shared" si="5"/>
        <v>0</v>
      </c>
      <c r="Z16" s="43">
        <f t="shared" si="5"/>
        <v>1020.9349493878819</v>
      </c>
      <c r="AA16" s="43">
        <f t="shared" si="5"/>
        <v>90.802813147208596</v>
      </c>
      <c r="AB16" s="43">
        <f t="shared" si="5"/>
        <v>0</v>
      </c>
      <c r="AC16" s="43">
        <f t="shared" si="5"/>
        <v>0</v>
      </c>
      <c r="AD16" s="43">
        <f>SUM(U16:AC16)</f>
        <v>40662.48242634756</v>
      </c>
      <c r="AE16" s="74">
        <f>+AD16/AD18</f>
        <v>3.495692177871413E-2</v>
      </c>
    </row>
    <row r="17" spans="1:32">
      <c r="D17" s="6"/>
      <c r="E17" s="6"/>
      <c r="F17" s="6"/>
      <c r="G17" s="6"/>
      <c r="H17" s="6"/>
      <c r="I17" s="6"/>
      <c r="J17" s="6"/>
      <c r="K17" s="6"/>
      <c r="L17" s="6"/>
      <c r="M17" s="6"/>
      <c r="N17" s="11"/>
      <c r="U17" s="6"/>
      <c r="V17" s="6"/>
      <c r="W17" s="6"/>
      <c r="X17" s="6"/>
      <c r="Y17" s="6"/>
      <c r="Z17" s="6"/>
      <c r="AA17" s="6"/>
      <c r="AB17" s="6"/>
      <c r="AC17" s="6"/>
      <c r="AD17" s="6"/>
      <c r="AE17" s="11"/>
    </row>
    <row r="18" spans="1:32" ht="13.5" thickBot="1">
      <c r="B18" t="s">
        <v>2</v>
      </c>
      <c r="D18" s="49">
        <f>+'General Data'!$C$23</f>
        <v>207333.85714285716</v>
      </c>
      <c r="E18" s="49">
        <f>+'General Data'!$D$23</f>
        <v>753.85714285714289</v>
      </c>
      <c r="F18" s="49">
        <f>+'General Data'!$E$23</f>
        <v>22002.012916666659</v>
      </c>
      <c r="G18" s="49">
        <f>+'General Data'!$F$23</f>
        <v>20359.166333333331</v>
      </c>
      <c r="H18" s="49">
        <f>+'General Data'!$G$23</f>
        <v>10478.449999999986</v>
      </c>
      <c r="I18" s="49">
        <f>+'General Data'!$H$23</f>
        <v>3624.7666666666628</v>
      </c>
      <c r="J18" s="49">
        <f>+'General Data'!$I$23</f>
        <v>647</v>
      </c>
      <c r="K18" s="49">
        <f>+'General Data'!$J$23</f>
        <v>2969.2999999999997</v>
      </c>
      <c r="L18" s="49">
        <f>+'General Data'!$K$23</f>
        <v>670.28571428571422</v>
      </c>
      <c r="M18" s="8">
        <f>SUM(D18:L18)</f>
        <v>268838.69591666665</v>
      </c>
      <c r="N18" s="14">
        <f>SUM(N12:N16)</f>
        <v>0.99999999999999978</v>
      </c>
      <c r="O18" s="6">
        <f>SUM(D18:L18)-SUM(M12:M16)</f>
        <v>0</v>
      </c>
      <c r="S18" t="s">
        <v>2</v>
      </c>
      <c r="U18" s="49">
        <f>DEPN2K!AB36+DEPN2K!AB59</f>
        <v>774309.47619047598</v>
      </c>
      <c r="V18" s="49">
        <f>DEPN2K!AB68</f>
        <v>4460.3214285714321</v>
      </c>
      <c r="W18" s="49">
        <f>DEPN2K!AB203</f>
        <v>181328.74541666664</v>
      </c>
      <c r="X18" s="49">
        <f>DEPN2K!AB233</f>
        <v>84885.116250000021</v>
      </c>
      <c r="Y18" s="49">
        <f>DEPN2K!AB270</f>
        <v>71742.191666666666</v>
      </c>
      <c r="Z18" s="49">
        <f>DEPN2K!AB317</f>
        <v>26114.300000000003</v>
      </c>
      <c r="AA18" s="49">
        <f>DEPN2K!AB351</f>
        <v>2165.2833333333338</v>
      </c>
      <c r="AB18" s="49">
        <f>DEPN2K!AB277</f>
        <v>16519.758333333346</v>
      </c>
      <c r="AC18" s="49">
        <f>DEPN2K!AB285</f>
        <v>1691.7142857142828</v>
      </c>
      <c r="AD18" s="8">
        <f>SUM(U18:AC18)</f>
        <v>1163216.9069047619</v>
      </c>
      <c r="AE18" s="14">
        <f>SUM(AE12:AE16)</f>
        <v>0.99999999999999978</v>
      </c>
      <c r="AF18" s="6">
        <f>SUM(U18:AC18)-SUM(AD12:AD16)</f>
        <v>0</v>
      </c>
    </row>
    <row r="19" spans="1:32" ht="13.5" thickTop="1"/>
    <row r="21" spans="1:32">
      <c r="D21" s="2" t="s">
        <v>196</v>
      </c>
      <c r="E21" s="2" t="s">
        <v>310</v>
      </c>
      <c r="F21" s="2"/>
      <c r="G21" s="2"/>
      <c r="H21" s="2" t="s">
        <v>310</v>
      </c>
      <c r="I21" s="2" t="s">
        <v>196</v>
      </c>
      <c r="J21" s="2" t="s">
        <v>194</v>
      </c>
      <c r="K21" s="2"/>
      <c r="L21" s="2"/>
      <c r="M21" s="2"/>
      <c r="U21" s="2" t="s">
        <v>196</v>
      </c>
      <c r="V21" s="2" t="s">
        <v>310</v>
      </c>
      <c r="W21" s="2"/>
      <c r="X21" s="2"/>
      <c r="Y21" s="2" t="s">
        <v>310</v>
      </c>
      <c r="Z21" s="2" t="s">
        <v>196</v>
      </c>
      <c r="AA21" s="2" t="s">
        <v>194</v>
      </c>
      <c r="AB21" s="2"/>
      <c r="AC21" s="2"/>
      <c r="AD21" s="2"/>
    </row>
    <row r="22" spans="1:32" ht="13.5" thickBot="1">
      <c r="A22" t="s">
        <v>195</v>
      </c>
      <c r="D22" s="20" t="s">
        <v>197</v>
      </c>
      <c r="E22" s="20" t="s">
        <v>151</v>
      </c>
      <c r="F22" s="20" t="s">
        <v>198</v>
      </c>
      <c r="G22" s="20" t="s">
        <v>198</v>
      </c>
      <c r="H22" s="20" t="s">
        <v>151</v>
      </c>
      <c r="I22" s="20" t="s">
        <v>197</v>
      </c>
      <c r="J22" s="20" t="s">
        <v>105</v>
      </c>
      <c r="K22" s="92" t="s">
        <v>340</v>
      </c>
      <c r="L22" s="92" t="s">
        <v>340</v>
      </c>
      <c r="M22" s="93"/>
      <c r="R22" t="s">
        <v>195</v>
      </c>
      <c r="U22" s="20" t="s">
        <v>197</v>
      </c>
      <c r="V22" s="20" t="s">
        <v>151</v>
      </c>
      <c r="W22" s="20" t="s">
        <v>198</v>
      </c>
      <c r="X22" s="20" t="s">
        <v>198</v>
      </c>
      <c r="Y22" s="20" t="s">
        <v>151</v>
      </c>
      <c r="Z22" s="20" t="s">
        <v>197</v>
      </c>
      <c r="AA22" s="20" t="s">
        <v>105</v>
      </c>
      <c r="AB22" s="92" t="s">
        <v>340</v>
      </c>
      <c r="AC22" s="92" t="s">
        <v>340</v>
      </c>
      <c r="AD22" s="93"/>
    </row>
    <row r="23" spans="1:32">
      <c r="M23" s="18"/>
      <c r="AD23" s="18"/>
    </row>
    <row r="25" spans="1:32">
      <c r="A25" t="s">
        <v>104</v>
      </c>
      <c r="D25" s="11">
        <f>+'Hours &amp; Miles'!D25</f>
        <v>0.87465887247961149</v>
      </c>
      <c r="E25" s="11">
        <v>1</v>
      </c>
      <c r="F25" s="11">
        <f>+'Container Count'!K27</f>
        <v>0.91603053435114501</v>
      </c>
      <c r="G25" s="11">
        <f>+'Container Count'!G14</f>
        <v>0.81106669471912474</v>
      </c>
      <c r="H25" s="11">
        <v>1</v>
      </c>
      <c r="I25" s="11">
        <f>+D25</f>
        <v>0.87465887247961149</v>
      </c>
      <c r="J25" s="11">
        <f>+'Cost Allocations-Contracts'!E65</f>
        <v>0.8608688392098135</v>
      </c>
      <c r="K25" s="11">
        <v>1</v>
      </c>
      <c r="L25" s="11">
        <v>1</v>
      </c>
      <c r="M25" s="11"/>
      <c r="R25" t="s">
        <v>104</v>
      </c>
      <c r="U25" s="11">
        <f>D25</f>
        <v>0.87465887247961149</v>
      </c>
      <c r="V25" s="11">
        <f t="shared" ref="V25:AC25" si="6">E25</f>
        <v>1</v>
      </c>
      <c r="W25" s="11">
        <f t="shared" si="6"/>
        <v>0.91603053435114501</v>
      </c>
      <c r="X25" s="11">
        <f t="shared" si="6"/>
        <v>0.81106669471912474</v>
      </c>
      <c r="Y25" s="11">
        <f t="shared" si="6"/>
        <v>1</v>
      </c>
      <c r="Z25" s="11">
        <f t="shared" si="6"/>
        <v>0.87465887247961149</v>
      </c>
      <c r="AA25" s="11">
        <f t="shared" si="6"/>
        <v>0.8608688392098135</v>
      </c>
      <c r="AB25" s="11">
        <f t="shared" si="6"/>
        <v>1</v>
      </c>
      <c r="AC25" s="11">
        <f t="shared" si="6"/>
        <v>1</v>
      </c>
      <c r="AD25" s="11"/>
    </row>
    <row r="26" spans="1:32">
      <c r="A26" t="s">
        <v>112</v>
      </c>
      <c r="D26" s="11">
        <f>+'Hours &amp; Miles'!E25</f>
        <v>8.6246265724825119E-2</v>
      </c>
      <c r="E26" s="11">
        <v>0</v>
      </c>
      <c r="F26" s="11">
        <f>+'Container Count'!K23</f>
        <v>5.6827820186598814E-2</v>
      </c>
      <c r="G26" s="11">
        <f>+'Container Count'!G10</f>
        <v>0.13759730696402273</v>
      </c>
      <c r="H26" s="11">
        <v>0</v>
      </c>
      <c r="I26" s="11">
        <f>+D26</f>
        <v>8.6246265724825119E-2</v>
      </c>
      <c r="J26" s="11">
        <f>+'Cost Allocations-Contracts'!H65</f>
        <v>9.7195395733785078E-2</v>
      </c>
      <c r="K26" s="11">
        <v>0</v>
      </c>
      <c r="L26" s="11">
        <f>+'Cost Allocations-Contracts'!J65</f>
        <v>0</v>
      </c>
      <c r="M26" s="11"/>
      <c r="R26" t="s">
        <v>112</v>
      </c>
      <c r="U26" s="11">
        <f>D26</f>
        <v>8.6246265724825119E-2</v>
      </c>
      <c r="V26" s="11">
        <f t="shared" ref="V26:AC27" si="7">E26</f>
        <v>0</v>
      </c>
      <c r="W26" s="11">
        <f t="shared" si="7"/>
        <v>5.6827820186598814E-2</v>
      </c>
      <c r="X26" s="11">
        <f t="shared" si="7"/>
        <v>0.13759730696402273</v>
      </c>
      <c r="Y26" s="11">
        <f t="shared" si="7"/>
        <v>0</v>
      </c>
      <c r="Z26" s="11">
        <f t="shared" si="7"/>
        <v>8.6246265724825119E-2</v>
      </c>
      <c r="AA26" s="11">
        <f t="shared" si="7"/>
        <v>9.7195395733785078E-2</v>
      </c>
      <c r="AB26" s="11">
        <f t="shared" si="7"/>
        <v>0</v>
      </c>
      <c r="AC26" s="11">
        <f t="shared" si="7"/>
        <v>0</v>
      </c>
      <c r="AD26" s="11"/>
    </row>
    <row r="27" spans="1:32">
      <c r="A27" t="s">
        <v>109</v>
      </c>
      <c r="D27" s="11">
        <f>+'Hours &amp; Miles'!F25</f>
        <v>3.9094861795563422E-2</v>
      </c>
      <c r="E27" s="11">
        <v>0</v>
      </c>
      <c r="F27" s="11">
        <f>+'Container Count'!K25</f>
        <v>2.7141645462256149E-2</v>
      </c>
      <c r="G27" s="11">
        <f>+'Container Count'!G12</f>
        <v>5.1335998316852517E-2</v>
      </c>
      <c r="H27" s="11">
        <v>0</v>
      </c>
      <c r="I27" s="11">
        <f>+D27</f>
        <v>3.9094861795563422E-2</v>
      </c>
      <c r="J27" s="11">
        <f>+'Cost Allocations-Contracts'!K65</f>
        <v>4.1935765056401508E-2</v>
      </c>
      <c r="K27" s="11">
        <v>0</v>
      </c>
      <c r="L27" s="11">
        <f>+'Cost Allocations-Contracts'!M65</f>
        <v>0</v>
      </c>
      <c r="M27" s="11"/>
      <c r="R27" t="s">
        <v>109</v>
      </c>
      <c r="U27" s="11">
        <f>D27</f>
        <v>3.9094861795563422E-2</v>
      </c>
      <c r="V27" s="11">
        <f t="shared" si="7"/>
        <v>0</v>
      </c>
      <c r="W27" s="11">
        <f t="shared" si="7"/>
        <v>2.7141645462256149E-2</v>
      </c>
      <c r="X27" s="11">
        <f t="shared" si="7"/>
        <v>5.1335998316852517E-2</v>
      </c>
      <c r="Y27" s="11">
        <f t="shared" si="7"/>
        <v>0</v>
      </c>
      <c r="Z27" s="11">
        <f t="shared" si="7"/>
        <v>3.9094861795563422E-2</v>
      </c>
      <c r="AA27" s="11">
        <f t="shared" si="7"/>
        <v>4.1935765056401508E-2</v>
      </c>
      <c r="AB27" s="11">
        <f t="shared" si="7"/>
        <v>0</v>
      </c>
      <c r="AC27" s="11">
        <f t="shared" si="7"/>
        <v>0</v>
      </c>
      <c r="AD27" s="11"/>
    </row>
    <row r="29" spans="1:32">
      <c r="D29" s="11">
        <f t="shared" ref="D29:I29" si="8">SUM(D25:D27)</f>
        <v>1</v>
      </c>
      <c r="E29" s="11">
        <f t="shared" si="8"/>
        <v>1</v>
      </c>
      <c r="F29" s="11">
        <f t="shared" si="8"/>
        <v>1</v>
      </c>
      <c r="G29" s="11">
        <f>SUM(G25:G27)</f>
        <v>1</v>
      </c>
      <c r="H29" s="11">
        <f t="shared" si="8"/>
        <v>1</v>
      </c>
      <c r="I29" s="11">
        <f t="shared" si="8"/>
        <v>1</v>
      </c>
      <c r="J29" s="11">
        <f>SUM(J25:J27)</f>
        <v>1</v>
      </c>
      <c r="K29" s="11">
        <f>SUM(K25:K27)</f>
        <v>1</v>
      </c>
      <c r="L29" s="11">
        <f>SUM(L25:L27)</f>
        <v>1</v>
      </c>
      <c r="M29" s="11"/>
      <c r="U29" s="11">
        <f t="shared" ref="U29:AC29" si="9">SUM(U25:U27)</f>
        <v>1</v>
      </c>
      <c r="V29" s="11">
        <f t="shared" si="9"/>
        <v>1</v>
      </c>
      <c r="W29" s="11">
        <f t="shared" si="9"/>
        <v>1</v>
      </c>
      <c r="X29" s="11">
        <f t="shared" si="9"/>
        <v>1</v>
      </c>
      <c r="Y29" s="11">
        <f t="shared" si="9"/>
        <v>1</v>
      </c>
      <c r="Z29" s="11">
        <f t="shared" si="9"/>
        <v>1</v>
      </c>
      <c r="AA29" s="11">
        <f t="shared" si="9"/>
        <v>1</v>
      </c>
      <c r="AB29" s="11">
        <f t="shared" si="9"/>
        <v>1</v>
      </c>
      <c r="AC29" s="11">
        <f t="shared" si="9"/>
        <v>1</v>
      </c>
      <c r="AD29" s="11"/>
    </row>
    <row r="31" spans="1:32" ht="13.5" thickBo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3" spans="1:32">
      <c r="D33" s="2" t="s">
        <v>190</v>
      </c>
      <c r="E33" s="2" t="s">
        <v>262</v>
      </c>
      <c r="F33" s="2"/>
      <c r="G33" s="2"/>
      <c r="H33" s="2" t="s">
        <v>262</v>
      </c>
      <c r="I33" s="2" t="s">
        <v>193</v>
      </c>
      <c r="J33" s="2" t="s">
        <v>194</v>
      </c>
      <c r="K33" s="90" t="s">
        <v>340</v>
      </c>
      <c r="L33" s="90" t="s">
        <v>341</v>
      </c>
      <c r="M33" s="2"/>
      <c r="N33" s="2"/>
      <c r="U33" s="2" t="s">
        <v>190</v>
      </c>
      <c r="V33" s="2" t="s">
        <v>262</v>
      </c>
      <c r="W33" s="2"/>
      <c r="X33" s="2"/>
      <c r="Y33" s="2" t="s">
        <v>262</v>
      </c>
      <c r="Z33" s="2" t="s">
        <v>193</v>
      </c>
      <c r="AA33" s="2" t="s">
        <v>194</v>
      </c>
      <c r="AB33" s="90" t="s">
        <v>340</v>
      </c>
      <c r="AC33" s="90" t="s">
        <v>341</v>
      </c>
      <c r="AD33" s="2"/>
      <c r="AE33" s="2"/>
    </row>
    <row r="34" spans="1:32" ht="13.5" thickBot="1">
      <c r="D34" s="20" t="s">
        <v>191</v>
      </c>
      <c r="E34" s="20" t="s">
        <v>191</v>
      </c>
      <c r="F34" s="20" t="s">
        <v>192</v>
      </c>
      <c r="G34" s="20" t="s">
        <v>315</v>
      </c>
      <c r="H34" s="20" t="s">
        <v>192</v>
      </c>
      <c r="I34" s="20" t="s">
        <v>191</v>
      </c>
      <c r="J34" s="20" t="s">
        <v>191</v>
      </c>
      <c r="K34" s="92" t="s">
        <v>315</v>
      </c>
      <c r="L34" s="92" t="s">
        <v>191</v>
      </c>
      <c r="M34" s="20" t="s">
        <v>2</v>
      </c>
      <c r="N34" s="2"/>
      <c r="U34" s="20" t="s">
        <v>191</v>
      </c>
      <c r="V34" s="20" t="s">
        <v>191</v>
      </c>
      <c r="W34" s="20" t="s">
        <v>192</v>
      </c>
      <c r="X34" s="20" t="s">
        <v>315</v>
      </c>
      <c r="Y34" s="20" t="s">
        <v>192</v>
      </c>
      <c r="Z34" s="20" t="s">
        <v>191</v>
      </c>
      <c r="AA34" s="20" t="s">
        <v>191</v>
      </c>
      <c r="AB34" s="92" t="s">
        <v>315</v>
      </c>
      <c r="AC34" s="92" t="s">
        <v>191</v>
      </c>
      <c r="AD34" s="20" t="s">
        <v>2</v>
      </c>
      <c r="AE34" s="2"/>
    </row>
    <row r="36" spans="1:32">
      <c r="A36" t="s">
        <v>104</v>
      </c>
      <c r="D36" s="6">
        <f t="shared" ref="D36:L36" si="10">+D42-D38-D40</f>
        <v>173266.39771542026</v>
      </c>
      <c r="E36" s="6">
        <f t="shared" si="10"/>
        <v>753.85714285714289</v>
      </c>
      <c r="F36" s="6">
        <f t="shared" si="10"/>
        <v>20154.515648854955</v>
      </c>
      <c r="G36" s="6">
        <f t="shared" si="10"/>
        <v>16512.641745213547</v>
      </c>
      <c r="H36" s="6">
        <f t="shared" si="10"/>
        <v>10478.449999999986</v>
      </c>
      <c r="I36" s="6">
        <f t="shared" si="10"/>
        <v>2836.503185131276</v>
      </c>
      <c r="J36" s="6">
        <f t="shared" si="10"/>
        <v>479.48856743462619</v>
      </c>
      <c r="K36" s="6">
        <f t="shared" si="10"/>
        <v>0</v>
      </c>
      <c r="L36" s="6">
        <f t="shared" si="10"/>
        <v>0</v>
      </c>
      <c r="M36" s="6">
        <f>SUM(D36:L36)</f>
        <v>224481.85400491176</v>
      </c>
      <c r="N36" s="10">
        <f>+M36/M42</f>
        <v>0.94873055420923358</v>
      </c>
      <c r="R36" t="s">
        <v>104</v>
      </c>
      <c r="U36" s="6">
        <f t="shared" ref="U36:AC36" si="11">+U42-U38-U40</f>
        <v>677256.65339504031</v>
      </c>
      <c r="V36" s="6">
        <f t="shared" si="11"/>
        <v>4460.3214285714321</v>
      </c>
      <c r="W36" s="6">
        <f t="shared" si="11"/>
        <v>166102.66755725187</v>
      </c>
      <c r="X36" s="6">
        <f t="shared" si="11"/>
        <v>68847.490667736172</v>
      </c>
      <c r="Y36" s="6">
        <f t="shared" si="11"/>
        <v>71742.191666666666</v>
      </c>
      <c r="Z36" s="6">
        <f t="shared" si="11"/>
        <v>20435.327826381585</v>
      </c>
      <c r="AA36" s="6">
        <f t="shared" si="11"/>
        <v>1604.6809947296329</v>
      </c>
      <c r="AB36" s="6">
        <f t="shared" si="11"/>
        <v>0</v>
      </c>
      <c r="AC36" s="6">
        <f t="shared" si="11"/>
        <v>0</v>
      </c>
      <c r="AD36" s="6">
        <f>SUM(U36:AC36)</f>
        <v>1010449.3335363776</v>
      </c>
      <c r="AE36" s="10">
        <f>+AD36/AD42</f>
        <v>0.97975752145341755</v>
      </c>
    </row>
    <row r="37" spans="1:32">
      <c r="D37" s="6"/>
      <c r="E37" s="6"/>
      <c r="F37" s="6"/>
      <c r="G37" s="6"/>
      <c r="H37" s="6"/>
      <c r="I37" s="6"/>
      <c r="J37" s="6"/>
      <c r="K37" s="6"/>
      <c r="L37" s="6"/>
      <c r="M37" s="6"/>
      <c r="N37" s="10"/>
      <c r="U37" s="6"/>
      <c r="V37" s="6"/>
      <c r="W37" s="6"/>
      <c r="X37" s="6"/>
      <c r="Y37" s="6"/>
      <c r="Z37" s="6"/>
      <c r="AA37" s="6"/>
      <c r="AB37" s="6"/>
      <c r="AC37" s="6"/>
      <c r="AD37" s="6"/>
      <c r="AE37" s="10"/>
    </row>
    <row r="38" spans="1:32">
      <c r="A38" s="83" t="s">
        <v>327</v>
      </c>
      <c r="D38" s="6">
        <f>D58</f>
        <v>0</v>
      </c>
      <c r="E38" s="6">
        <f t="shared" ref="E38:L38" si="12">+E42*E50</f>
        <v>0</v>
      </c>
      <c r="F38" s="6">
        <f t="shared" si="12"/>
        <v>0</v>
      </c>
      <c r="G38" s="6">
        <f t="shared" si="12"/>
        <v>0</v>
      </c>
      <c r="H38" s="6">
        <f t="shared" si="12"/>
        <v>0</v>
      </c>
      <c r="I38" s="6">
        <f t="shared" si="12"/>
        <v>229.82555799892921</v>
      </c>
      <c r="J38" s="6">
        <f t="shared" si="12"/>
        <v>54.136099413717659</v>
      </c>
      <c r="K38" s="6">
        <f t="shared" si="12"/>
        <v>2969.2999999999997</v>
      </c>
      <c r="L38" s="6">
        <f t="shared" si="12"/>
        <v>670.28571428571422</v>
      </c>
      <c r="M38" s="6">
        <f>SUM(D38:L38)</f>
        <v>3923.5473716983611</v>
      </c>
      <c r="N38" s="10">
        <f>+M38/M42</f>
        <v>1.6582138850011995E-2</v>
      </c>
      <c r="R38" s="83" t="s">
        <v>327</v>
      </c>
      <c r="U38" s="6">
        <f>U58</f>
        <v>0</v>
      </c>
      <c r="V38" s="6">
        <f t="shared" ref="V38:AC38" si="13">+V42*V50</f>
        <v>0</v>
      </c>
      <c r="W38" s="6">
        <f t="shared" si="13"/>
        <v>0</v>
      </c>
      <c r="X38" s="6">
        <f t="shared" si="13"/>
        <v>0</v>
      </c>
      <c r="Y38" s="6">
        <f t="shared" si="13"/>
        <v>0</v>
      </c>
      <c r="Z38" s="6">
        <f t="shared" si="13"/>
        <v>1655.7572172695557</v>
      </c>
      <c r="AA38" s="6">
        <f t="shared" si="13"/>
        <v>181.17464264636681</v>
      </c>
      <c r="AB38" s="6">
        <f t="shared" si="13"/>
        <v>16519.758333333346</v>
      </c>
      <c r="AC38" s="6">
        <f t="shared" si="13"/>
        <v>845.85714285714141</v>
      </c>
      <c r="AD38" s="6">
        <f>SUM(U38:AC38)</f>
        <v>19202.547336106411</v>
      </c>
      <c r="AE38" s="10">
        <f>+AD38/AD42</f>
        <v>1.8619281105140356E-2</v>
      </c>
    </row>
    <row r="39" spans="1:32">
      <c r="D39" s="6"/>
      <c r="E39" s="6"/>
      <c r="F39" s="6"/>
      <c r="G39" s="6"/>
      <c r="H39" s="6"/>
      <c r="I39" s="6"/>
      <c r="J39" s="6"/>
      <c r="K39" s="6"/>
      <c r="L39" s="6"/>
      <c r="M39" s="6"/>
      <c r="N39" s="10"/>
      <c r="U39" s="6"/>
      <c r="V39" s="6"/>
      <c r="W39" s="6"/>
      <c r="X39" s="6"/>
      <c r="Y39" s="6"/>
      <c r="Z39" s="6"/>
      <c r="AA39" s="6"/>
      <c r="AB39" s="6"/>
      <c r="AC39" s="6"/>
      <c r="AD39" s="6"/>
      <c r="AE39" s="10"/>
    </row>
    <row r="40" spans="1:32">
      <c r="A40" s="83" t="s">
        <v>360</v>
      </c>
      <c r="D40" s="43">
        <f>D64</f>
        <v>8080</v>
      </c>
      <c r="E40" s="43">
        <f t="shared" ref="E40:L40" si="14">+E42*E51</f>
        <v>0</v>
      </c>
      <c r="F40" s="43">
        <f t="shared" si="14"/>
        <v>0</v>
      </c>
      <c r="G40" s="43">
        <f t="shared" si="14"/>
        <v>0</v>
      </c>
      <c r="H40" s="43">
        <f t="shared" si="14"/>
        <v>0</v>
      </c>
      <c r="I40" s="43">
        <f t="shared" si="14"/>
        <v>104.10558253813805</v>
      </c>
      <c r="J40" s="43">
        <f t="shared" si="14"/>
        <v>23.357472120405443</v>
      </c>
      <c r="K40" s="43">
        <f t="shared" si="14"/>
        <v>0</v>
      </c>
      <c r="L40" s="43">
        <f t="shared" si="14"/>
        <v>0</v>
      </c>
      <c r="M40" s="43">
        <f>SUM(D40:L40)</f>
        <v>8207.4630546585431</v>
      </c>
      <c r="N40" s="74">
        <f>+M40/M42</f>
        <v>3.4687306940754475E-2</v>
      </c>
      <c r="R40" s="83" t="s">
        <v>360</v>
      </c>
      <c r="U40" s="43">
        <f>U64</f>
        <v>0</v>
      </c>
      <c r="V40" s="43">
        <f t="shared" ref="V40:AC40" si="15">+V42*V51</f>
        <v>0</v>
      </c>
      <c r="W40" s="43">
        <f t="shared" si="15"/>
        <v>0</v>
      </c>
      <c r="X40" s="43">
        <f t="shared" si="15"/>
        <v>0</v>
      </c>
      <c r="Y40" s="43">
        <f t="shared" si="15"/>
        <v>0</v>
      </c>
      <c r="Z40" s="43">
        <f t="shared" si="15"/>
        <v>750.01914994317826</v>
      </c>
      <c r="AA40" s="43">
        <f t="shared" si="15"/>
        <v>78.169312351023052</v>
      </c>
      <c r="AB40" s="43">
        <f t="shared" si="15"/>
        <v>0</v>
      </c>
      <c r="AC40" s="43">
        <f t="shared" si="15"/>
        <v>845.85714285714141</v>
      </c>
      <c r="AD40" s="43">
        <f>SUM(U40:AC40)</f>
        <v>1674.0456051513429</v>
      </c>
      <c r="AE40" s="74">
        <f>+AD40/AD42</f>
        <v>1.6231974414420436E-3</v>
      </c>
    </row>
    <row r="41" spans="1:32">
      <c r="D41" s="6"/>
      <c r="E41" s="6"/>
      <c r="F41" s="6"/>
      <c r="G41" s="6"/>
      <c r="H41" s="6"/>
      <c r="I41" s="6"/>
      <c r="J41" s="6"/>
      <c r="K41" s="6"/>
      <c r="L41" s="6"/>
      <c r="M41" s="6"/>
      <c r="N41" s="11"/>
      <c r="U41" s="6"/>
      <c r="V41" s="6"/>
      <c r="W41" s="6"/>
      <c r="X41" s="6"/>
      <c r="Y41" s="6"/>
      <c r="Z41" s="6"/>
      <c r="AA41" s="6"/>
      <c r="AB41" s="6"/>
      <c r="AC41" s="6"/>
      <c r="AD41" s="6"/>
      <c r="AE41" s="11"/>
    </row>
    <row r="42" spans="1:32" ht="13.5" thickBot="1">
      <c r="B42" s="83" t="s">
        <v>361</v>
      </c>
      <c r="D42" s="49">
        <f t="shared" ref="D42:L42" si="16">D12</f>
        <v>181346.39771542026</v>
      </c>
      <c r="E42" s="49">
        <f t="shared" si="16"/>
        <v>753.85714285714289</v>
      </c>
      <c r="F42" s="49">
        <f t="shared" si="16"/>
        <v>20154.515648854955</v>
      </c>
      <c r="G42" s="49">
        <f t="shared" si="16"/>
        <v>16512.641745213547</v>
      </c>
      <c r="H42" s="49">
        <f t="shared" si="16"/>
        <v>10478.449999999986</v>
      </c>
      <c r="I42" s="49">
        <f t="shared" si="16"/>
        <v>3170.4343256683433</v>
      </c>
      <c r="J42" s="49">
        <f t="shared" si="16"/>
        <v>556.98213896874927</v>
      </c>
      <c r="K42" s="49">
        <f t="shared" si="16"/>
        <v>2969.2999999999997</v>
      </c>
      <c r="L42" s="49">
        <f t="shared" si="16"/>
        <v>670.28571428571422</v>
      </c>
      <c r="M42" s="8">
        <f>SUM(D42:L42)</f>
        <v>236612.86443126865</v>
      </c>
      <c r="N42" s="14">
        <f>SUM(N36:N40)</f>
        <v>1</v>
      </c>
      <c r="O42" s="6">
        <f>SUM(D42:L42)-SUM(M36:M40)</f>
        <v>0</v>
      </c>
      <c r="S42" s="83" t="s">
        <v>361</v>
      </c>
      <c r="U42" s="49">
        <f t="shared" ref="U42:AC42" si="17">U12</f>
        <v>677256.65339504031</v>
      </c>
      <c r="V42" s="49">
        <f t="shared" si="17"/>
        <v>4460.3214285714321</v>
      </c>
      <c r="W42" s="49">
        <f t="shared" si="17"/>
        <v>166102.66755725187</v>
      </c>
      <c r="X42" s="49">
        <f t="shared" si="17"/>
        <v>68847.490667736172</v>
      </c>
      <c r="Y42" s="49">
        <f t="shared" si="17"/>
        <v>71742.191666666666</v>
      </c>
      <c r="Z42" s="49">
        <f t="shared" si="17"/>
        <v>22841.104193594318</v>
      </c>
      <c r="AA42" s="49">
        <f t="shared" si="17"/>
        <v>1864.0249497270227</v>
      </c>
      <c r="AB42" s="49">
        <f t="shared" si="17"/>
        <v>16519.758333333346</v>
      </c>
      <c r="AC42" s="49">
        <f t="shared" si="17"/>
        <v>1691.7142857142828</v>
      </c>
      <c r="AD42" s="8">
        <f>SUM(U42:AC42)</f>
        <v>1031325.9264776354</v>
      </c>
      <c r="AE42" s="14">
        <f>SUM(AE36:AE40)</f>
        <v>0.99999999999999989</v>
      </c>
      <c r="AF42" s="6">
        <f>SUM(U42:AC42)-SUM(AD36:AD40)</f>
        <v>0</v>
      </c>
    </row>
    <row r="43" spans="1:32" ht="13.5" thickTop="1"/>
    <row r="46" spans="1:32">
      <c r="D46" s="2"/>
      <c r="E46" s="2" t="s">
        <v>310</v>
      </c>
      <c r="F46" s="2"/>
      <c r="G46" s="2"/>
      <c r="H46" s="2" t="s">
        <v>310</v>
      </c>
      <c r="I46" s="2" t="s">
        <v>196</v>
      </c>
      <c r="J46" s="2" t="s">
        <v>194</v>
      </c>
      <c r="K46" s="2"/>
      <c r="L46" s="2"/>
      <c r="M46" s="2"/>
      <c r="U46" s="2"/>
      <c r="V46" s="2" t="s">
        <v>310</v>
      </c>
      <c r="W46" s="2"/>
      <c r="X46" s="2"/>
      <c r="Y46" s="2" t="s">
        <v>310</v>
      </c>
      <c r="Z46" s="2" t="s">
        <v>196</v>
      </c>
      <c r="AA46" s="2" t="s">
        <v>194</v>
      </c>
      <c r="AB46" s="2"/>
      <c r="AC46" s="2"/>
    </row>
    <row r="47" spans="1:32" ht="13.5" thickBot="1">
      <c r="A47" t="s">
        <v>195</v>
      </c>
      <c r="D47" s="92" t="s">
        <v>364</v>
      </c>
      <c r="E47" s="20" t="s">
        <v>151</v>
      </c>
      <c r="F47" s="20" t="s">
        <v>198</v>
      </c>
      <c r="G47" s="20" t="s">
        <v>198</v>
      </c>
      <c r="H47" s="20" t="s">
        <v>151</v>
      </c>
      <c r="I47" s="20" t="s">
        <v>197</v>
      </c>
      <c r="J47" s="20" t="s">
        <v>105</v>
      </c>
      <c r="K47" s="92" t="s">
        <v>340</v>
      </c>
      <c r="L47" s="92" t="s">
        <v>340</v>
      </c>
      <c r="M47" s="93"/>
      <c r="R47" t="s">
        <v>195</v>
      </c>
      <c r="U47" s="92" t="s">
        <v>364</v>
      </c>
      <c r="V47" s="20" t="s">
        <v>151</v>
      </c>
      <c r="W47" s="20" t="s">
        <v>198</v>
      </c>
      <c r="X47" s="20" t="s">
        <v>198</v>
      </c>
      <c r="Y47" s="20" t="s">
        <v>151</v>
      </c>
      <c r="Z47" s="20" t="s">
        <v>197</v>
      </c>
      <c r="AA47" s="20" t="s">
        <v>105</v>
      </c>
      <c r="AB47" s="92" t="s">
        <v>340</v>
      </c>
      <c r="AC47" s="92" t="s">
        <v>340</v>
      </c>
    </row>
    <row r="49" spans="1:29">
      <c r="A49" t="s">
        <v>104</v>
      </c>
      <c r="D49" s="11">
        <f>+'Hours &amp; Miles'!D31</f>
        <v>0</v>
      </c>
      <c r="E49" s="11">
        <v>1</v>
      </c>
      <c r="F49" s="11">
        <v>1</v>
      </c>
      <c r="G49" s="11">
        <v>1</v>
      </c>
      <c r="H49" s="11">
        <v>1</v>
      </c>
      <c r="I49" s="11">
        <f>'Hours &amp; Miles'!I25</f>
        <v>0.89467337713526895</v>
      </c>
      <c r="J49" s="429">
        <f>'Overhead Allocation'!O20</f>
        <v>0.8608688392098135</v>
      </c>
      <c r="K49" s="11">
        <v>0</v>
      </c>
      <c r="L49" s="11">
        <v>0</v>
      </c>
      <c r="R49" t="s">
        <v>104</v>
      </c>
      <c r="U49" s="11">
        <f>D49</f>
        <v>0</v>
      </c>
      <c r="V49" s="11">
        <f t="shared" ref="V49:AC49" si="18">E49</f>
        <v>1</v>
      </c>
      <c r="W49" s="11">
        <f t="shared" si="18"/>
        <v>1</v>
      </c>
      <c r="X49" s="11">
        <f t="shared" si="18"/>
        <v>1</v>
      </c>
      <c r="Y49" s="11">
        <f t="shared" si="18"/>
        <v>1</v>
      </c>
      <c r="Z49" s="11">
        <f t="shared" si="18"/>
        <v>0.89467337713526895</v>
      </c>
      <c r="AA49" s="11">
        <f t="shared" si="18"/>
        <v>0.8608688392098135</v>
      </c>
      <c r="AB49" s="11">
        <f t="shared" si="18"/>
        <v>0</v>
      </c>
      <c r="AC49" s="11">
        <f t="shared" si="18"/>
        <v>0</v>
      </c>
    </row>
    <row r="50" spans="1:29">
      <c r="A50" s="83" t="s">
        <v>327</v>
      </c>
      <c r="D50" s="11">
        <f>+'Hours &amp; Miles'!E31</f>
        <v>0</v>
      </c>
      <c r="E50" s="11">
        <v>0</v>
      </c>
      <c r="F50" s="11">
        <v>0</v>
      </c>
      <c r="G50" s="11">
        <v>0</v>
      </c>
      <c r="H50" s="11">
        <v>0</v>
      </c>
      <c r="I50" s="11">
        <f>'Hours &amp; Miles'!K25</f>
        <v>7.2490244045815666E-2</v>
      </c>
      <c r="J50" s="429">
        <f>'Overhead Allocation'!P20</f>
        <v>9.7195395733785078E-2</v>
      </c>
      <c r="K50" s="11">
        <v>1</v>
      </c>
      <c r="L50" s="11">
        <v>1</v>
      </c>
      <c r="R50" s="83" t="s">
        <v>327</v>
      </c>
      <c r="U50" s="11">
        <f>D50</f>
        <v>0</v>
      </c>
      <c r="V50" s="11">
        <f t="shared" ref="V50:AB51" si="19">E50</f>
        <v>0</v>
      </c>
      <c r="W50" s="11">
        <f t="shared" si="19"/>
        <v>0</v>
      </c>
      <c r="X50" s="11">
        <f t="shared" si="19"/>
        <v>0</v>
      </c>
      <c r="Y50" s="11">
        <f t="shared" si="19"/>
        <v>0</v>
      </c>
      <c r="Z50" s="11">
        <f t="shared" si="19"/>
        <v>7.2490244045815666E-2</v>
      </c>
      <c r="AA50" s="11">
        <f t="shared" si="19"/>
        <v>9.7195395733785078E-2</v>
      </c>
      <c r="AB50" s="11">
        <f t="shared" si="19"/>
        <v>1</v>
      </c>
      <c r="AC50" s="11">
        <v>0.5</v>
      </c>
    </row>
    <row r="51" spans="1:29">
      <c r="A51" s="83" t="s">
        <v>360</v>
      </c>
      <c r="D51" s="11">
        <f>+'Hours &amp; Miles'!F31</f>
        <v>0</v>
      </c>
      <c r="E51" s="11">
        <v>0</v>
      </c>
      <c r="F51" s="11">
        <f>+'Container Count'!K31</f>
        <v>0</v>
      </c>
      <c r="G51" s="11">
        <f>+'Container Count'!G18</f>
        <v>0</v>
      </c>
      <c r="H51" s="11">
        <v>0</v>
      </c>
      <c r="I51" s="11">
        <f>'Hours &amp; Miles'!J25</f>
        <v>3.2836378818915317E-2</v>
      </c>
      <c r="J51" s="429">
        <f>'Overhead Allocation'!Q20</f>
        <v>4.1935765056401508E-2</v>
      </c>
      <c r="K51" s="11">
        <v>0</v>
      </c>
      <c r="L51" s="11">
        <f>+'Cost Allocations-Contracts'!M71</f>
        <v>0</v>
      </c>
      <c r="R51" s="83" t="s">
        <v>360</v>
      </c>
      <c r="U51" s="11">
        <f>D51</f>
        <v>0</v>
      </c>
      <c r="V51" s="11">
        <f t="shared" si="19"/>
        <v>0</v>
      </c>
      <c r="W51" s="11">
        <f t="shared" si="19"/>
        <v>0</v>
      </c>
      <c r="X51" s="11">
        <f t="shared" si="19"/>
        <v>0</v>
      </c>
      <c r="Y51" s="11">
        <f t="shared" si="19"/>
        <v>0</v>
      </c>
      <c r="Z51" s="11">
        <f t="shared" si="19"/>
        <v>3.2836378818915317E-2</v>
      </c>
      <c r="AA51" s="11">
        <f t="shared" si="19"/>
        <v>4.1935765056401508E-2</v>
      </c>
      <c r="AB51" s="11">
        <f t="shared" si="19"/>
        <v>0</v>
      </c>
      <c r="AC51" s="11">
        <v>0.5</v>
      </c>
    </row>
    <row r="53" spans="1:29">
      <c r="D53" s="11">
        <f>SUM(D49:D51)</f>
        <v>0</v>
      </c>
      <c r="E53" s="11">
        <f>SUM(E49:E51)</f>
        <v>1</v>
      </c>
      <c r="F53" s="11">
        <f>SUM(F49:F51)</f>
        <v>1</v>
      </c>
      <c r="G53" s="11">
        <f t="shared" ref="G53:L53" si="20">SUM(G49:G51)</f>
        <v>1</v>
      </c>
      <c r="H53" s="11">
        <f t="shared" si="20"/>
        <v>1</v>
      </c>
      <c r="I53" s="11">
        <f t="shared" si="20"/>
        <v>0.99999999999999989</v>
      </c>
      <c r="J53" s="11">
        <f t="shared" si="20"/>
        <v>1</v>
      </c>
      <c r="K53" s="11">
        <f t="shared" si="20"/>
        <v>1</v>
      </c>
      <c r="L53" s="11">
        <f t="shared" si="20"/>
        <v>1</v>
      </c>
      <c r="U53" s="11">
        <f>SUM(U49:U51)</f>
        <v>0</v>
      </c>
      <c r="V53" s="11">
        <f>SUM(V49:V51)</f>
        <v>1</v>
      </c>
      <c r="W53" s="11">
        <f>SUM(W49:W51)</f>
        <v>1</v>
      </c>
      <c r="X53" s="11">
        <f t="shared" ref="X53:AC53" si="21">SUM(X49:X51)</f>
        <v>1</v>
      </c>
      <c r="Y53" s="11">
        <f t="shared" si="21"/>
        <v>1</v>
      </c>
      <c r="Z53" s="11">
        <f t="shared" si="21"/>
        <v>0.99999999999999989</v>
      </c>
      <c r="AA53" s="11">
        <f t="shared" si="21"/>
        <v>1</v>
      </c>
      <c r="AB53" s="11">
        <f t="shared" si="21"/>
        <v>1</v>
      </c>
      <c r="AC53" s="11">
        <f t="shared" si="21"/>
        <v>1</v>
      </c>
    </row>
    <row r="56" spans="1:29">
      <c r="A56" s="83" t="s">
        <v>359</v>
      </c>
    </row>
    <row r="57" spans="1:29">
      <c r="A57" s="83" t="s">
        <v>356</v>
      </c>
    </row>
    <row r="58" spans="1:29">
      <c r="A58" s="643" t="s">
        <v>357</v>
      </c>
      <c r="C58" s="99">
        <f>DEPN2K!T14+DEPN2K!T18</f>
        <v>0</v>
      </c>
      <c r="D58" s="100">
        <f>ROUND(C58*C60,0)</f>
        <v>0</v>
      </c>
    </row>
    <row r="59" spans="1:29">
      <c r="A59" s="83" t="s">
        <v>362</v>
      </c>
      <c r="B59" s="650">
        <v>6356</v>
      </c>
    </row>
    <row r="60" spans="1:29">
      <c r="A60" s="83" t="s">
        <v>363</v>
      </c>
      <c r="B60" s="650">
        <v>6356</v>
      </c>
      <c r="C60" s="94">
        <f>B60/B59</f>
        <v>1</v>
      </c>
    </row>
    <row r="63" spans="1:29">
      <c r="A63" s="83" t="s">
        <v>358</v>
      </c>
    </row>
    <row r="64" spans="1:29">
      <c r="A64" s="649" t="s">
        <v>1421</v>
      </c>
      <c r="C64" s="100">
        <f>DEPN2K!$T$24</f>
        <v>22445.714285714286</v>
      </c>
      <c r="D64" s="100">
        <f>ROUND(C64*C66,0)</f>
        <v>8080</v>
      </c>
    </row>
    <row r="65" spans="1:4">
      <c r="A65" s="83" t="s">
        <v>362</v>
      </c>
      <c r="B65" s="650">
        <v>6742</v>
      </c>
    </row>
    <row r="66" spans="1:4">
      <c r="A66" s="83" t="s">
        <v>363</v>
      </c>
      <c r="B66" s="650">
        <v>2427</v>
      </c>
      <c r="C66" s="94">
        <f>B66/B65</f>
        <v>0.35998220112726192</v>
      </c>
      <c r="D66" s="17"/>
    </row>
  </sheetData>
  <phoneticPr fontId="0" type="noConversion"/>
  <pageMargins left="0.33" right="0.3" top="1" bottom="1" header="0.5" footer="0.5"/>
  <pageSetup scale="41" orientation="landscape" horizontalDpi="300" verticalDpi="300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86"/>
  <sheetViews>
    <sheetView topLeftCell="A7" zoomScaleNormal="100" workbookViewId="0">
      <selection activeCell="I83" sqref="I83"/>
    </sheetView>
  </sheetViews>
  <sheetFormatPr defaultRowHeight="12.75"/>
  <cols>
    <col min="3" max="4" width="10.85546875" customWidth="1"/>
    <col min="5" max="5" width="11.28515625" customWidth="1"/>
    <col min="6" max="6" width="10" customWidth="1"/>
    <col min="8" max="8" width="10.28515625" customWidth="1"/>
    <col min="9" max="9" width="10.42578125" customWidth="1"/>
    <col min="10" max="10" width="11.28515625" customWidth="1"/>
    <col min="11" max="11" width="11.140625" customWidth="1"/>
  </cols>
  <sheetData>
    <row r="1" spans="1:15">
      <c r="A1" t="s">
        <v>0</v>
      </c>
    </row>
    <row r="3" spans="1:15">
      <c r="A3" t="s">
        <v>110</v>
      </c>
      <c r="F3" s="643" t="s">
        <v>1342</v>
      </c>
      <c r="G3" s="643" t="s">
        <v>689</v>
      </c>
    </row>
    <row r="5" spans="1:15">
      <c r="A5" s="642" t="s">
        <v>1454</v>
      </c>
    </row>
    <row r="7" spans="1:15">
      <c r="H7" s="90" t="s">
        <v>2</v>
      </c>
      <c r="I7" s="90" t="s">
        <v>344</v>
      </c>
      <c r="J7" s="83" t="s">
        <v>337</v>
      </c>
      <c r="K7" s="83" t="s">
        <v>339</v>
      </c>
    </row>
    <row r="8" spans="1:15" ht="13.5" thickBot="1">
      <c r="A8" t="s">
        <v>111</v>
      </c>
      <c r="C8" s="20" t="s">
        <v>2</v>
      </c>
      <c r="D8" s="20" t="s">
        <v>104</v>
      </c>
      <c r="E8" s="20" t="s">
        <v>112</v>
      </c>
      <c r="F8" s="20" t="s">
        <v>109</v>
      </c>
      <c r="H8" s="92" t="s">
        <v>104</v>
      </c>
      <c r="I8" s="20" t="s">
        <v>104</v>
      </c>
      <c r="J8" s="92" t="s">
        <v>338</v>
      </c>
      <c r="K8" s="92" t="s">
        <v>338</v>
      </c>
    </row>
    <row r="9" spans="1:15">
      <c r="E9" s="17"/>
      <c r="J9" s="17"/>
    </row>
    <row r="10" spans="1:15">
      <c r="A10" t="str">
        <f>+'Monthly Data-Hours &amp; Miles'!$C$24</f>
        <v xml:space="preserve">October </v>
      </c>
      <c r="C10" s="17">
        <f>+'Monthly Data-Hours &amp; Miles'!$C$32</f>
        <v>666.27</v>
      </c>
      <c r="D10" s="17">
        <f>+C10-E10-F10</f>
        <v>585.98</v>
      </c>
      <c r="E10" s="17">
        <f>+'Monthly Data-Hours &amp; Miles'!C$26</f>
        <v>54.41</v>
      </c>
      <c r="F10" s="17">
        <f>+'Monthly Data-Hours &amp; Miles'!C$27</f>
        <v>25.88</v>
      </c>
      <c r="H10" s="17">
        <f>D10</f>
        <v>585.98</v>
      </c>
      <c r="I10" s="17">
        <f>+H10-J10-K10</f>
        <v>523.98</v>
      </c>
      <c r="J10" s="17">
        <f>+'Monthly Data-Hours &amp; Miles'!C$36</f>
        <v>24</v>
      </c>
      <c r="K10" s="17">
        <f>+'Monthly Data-Hours &amp; Miles'!C$35</f>
        <v>38</v>
      </c>
    </row>
    <row r="11" spans="1:15">
      <c r="A11" t="str">
        <f>+'Monthly Data-Hours &amp; Miles'!$D$24</f>
        <v>November</v>
      </c>
      <c r="C11" s="17">
        <f>+'Monthly Data-Hours &amp; Miles'!$D$32</f>
        <v>657.16000000000008</v>
      </c>
      <c r="D11" s="17">
        <f t="shared" ref="D11:D16" si="0">+C11-E11-F11</f>
        <v>559.74000000000012</v>
      </c>
      <c r="E11" s="17">
        <f>+'Monthly Data-Hours &amp; Miles'!D$26</f>
        <v>66.319999999999993</v>
      </c>
      <c r="F11" s="17">
        <f>+'Monthly Data-Hours &amp; Miles'!D$27</f>
        <v>31.1</v>
      </c>
      <c r="H11" s="17">
        <f t="shared" ref="H11:H16" si="1">D11</f>
        <v>559.74000000000012</v>
      </c>
      <c r="I11" s="17">
        <f t="shared" ref="I11:I16" si="2">+H11-J11-K11</f>
        <v>502.49000000000012</v>
      </c>
      <c r="J11" s="17">
        <f>+'Monthly Data-Hours &amp; Miles'!D$36</f>
        <v>15.5</v>
      </c>
      <c r="K11" s="17">
        <f>+'Monthly Data-Hours &amp; Miles'!D$35</f>
        <v>41.75</v>
      </c>
    </row>
    <row r="12" spans="1:15">
      <c r="A12" t="str">
        <f>+'Monthly Data-Hours &amp; Miles'!$E$24</f>
        <v>December</v>
      </c>
      <c r="C12" s="17">
        <f>+'Monthly Data-Hours &amp; Miles'!$E$32</f>
        <v>648.41999999999996</v>
      </c>
      <c r="D12" s="17">
        <f t="shared" si="0"/>
        <v>570.68999999999994</v>
      </c>
      <c r="E12" s="17">
        <f>+'Monthly Data-Hours &amp; Miles'!E$26</f>
        <v>50.58</v>
      </c>
      <c r="F12" s="17">
        <f>+'Monthly Data-Hours &amp; Miles'!E$27</f>
        <v>27.15</v>
      </c>
      <c r="H12" s="17">
        <f t="shared" si="1"/>
        <v>570.68999999999994</v>
      </c>
      <c r="I12" s="17">
        <f t="shared" si="2"/>
        <v>515.26</v>
      </c>
      <c r="J12" s="17">
        <f>+'Monthly Data-Hours &amp; Miles'!E$36</f>
        <v>21</v>
      </c>
      <c r="K12" s="17">
        <f>+'Monthly Data-Hours &amp; Miles'!E$35</f>
        <v>34.43</v>
      </c>
    </row>
    <row r="13" spans="1:15">
      <c r="A13" t="str">
        <f>+'Monthly Data-Hours &amp; Miles'!$F$24</f>
        <v>January</v>
      </c>
      <c r="C13" s="17">
        <f>+'Monthly Data-Hours &amp; Miles'!$F$32</f>
        <v>549.53</v>
      </c>
      <c r="D13" s="17">
        <f t="shared" si="0"/>
        <v>472.23999999999995</v>
      </c>
      <c r="E13" s="17">
        <f>+'Monthly Data-Hours &amp; Miles'!F$26</f>
        <v>53.47</v>
      </c>
      <c r="F13" s="17">
        <f>+'Monthly Data-Hours &amp; Miles'!F$27</f>
        <v>23.82</v>
      </c>
      <c r="H13" s="17">
        <f t="shared" si="1"/>
        <v>472.23999999999995</v>
      </c>
      <c r="I13" s="17">
        <f t="shared" si="2"/>
        <v>417.73999999999995</v>
      </c>
      <c r="J13" s="17">
        <f>+'Monthly Data-Hours &amp; Miles'!F$36</f>
        <v>8</v>
      </c>
      <c r="K13" s="17">
        <f>+'Monthly Data-Hours &amp; Miles'!F$35</f>
        <v>46.5</v>
      </c>
      <c r="O13" s="11"/>
    </row>
    <row r="14" spans="1:15">
      <c r="A14" t="str">
        <f>+'Monthly Data-Hours &amp; Miles'!$G$24</f>
        <v>February</v>
      </c>
      <c r="C14" s="17">
        <f>+'Monthly Data-Hours &amp; Miles'!$G$32</f>
        <v>487.58</v>
      </c>
      <c r="D14" s="17">
        <f t="shared" si="0"/>
        <v>414.12999999999994</v>
      </c>
      <c r="E14" s="17">
        <f>+'Monthly Data-Hours &amp; Miles'!G$26</f>
        <v>54.28</v>
      </c>
      <c r="F14" s="17">
        <f>+'Monthly Data-Hours &amp; Miles'!G$27</f>
        <v>19.170000000000002</v>
      </c>
      <c r="H14" s="17">
        <f t="shared" si="1"/>
        <v>414.12999999999994</v>
      </c>
      <c r="I14" s="17">
        <f t="shared" si="2"/>
        <v>361.62999999999994</v>
      </c>
      <c r="J14" s="17">
        <f>+'Monthly Data-Hours &amp; Miles'!G$36</f>
        <v>16.5</v>
      </c>
      <c r="K14" s="17">
        <f>+'Monthly Data-Hours &amp; Miles'!G$35</f>
        <v>36</v>
      </c>
      <c r="O14" s="11"/>
    </row>
    <row r="15" spans="1:15">
      <c r="A15" t="str">
        <f>+'Monthly Data-Hours &amp; Miles'!$H$24</f>
        <v>March</v>
      </c>
      <c r="C15" s="17">
        <f>+'Monthly Data-Hours &amp; Miles'!$H$32</f>
        <v>631</v>
      </c>
      <c r="D15" s="17">
        <f t="shared" si="0"/>
        <v>543.31999999999994</v>
      </c>
      <c r="E15" s="17">
        <f>+'Monthly Data-Hours &amp; Miles'!H$26</f>
        <v>63.74</v>
      </c>
      <c r="F15" s="17">
        <f>+'Monthly Data-Hours &amp; Miles'!H$27</f>
        <v>23.94</v>
      </c>
      <c r="H15" s="17">
        <f t="shared" si="1"/>
        <v>543.31999999999994</v>
      </c>
      <c r="I15" s="17">
        <f t="shared" si="2"/>
        <v>475.31999999999994</v>
      </c>
      <c r="J15" s="17">
        <f>+'Monthly Data-Hours &amp; Miles'!H$36</f>
        <v>18.5</v>
      </c>
      <c r="K15" s="17">
        <f>+'Monthly Data-Hours &amp; Miles'!H$35</f>
        <v>49.5</v>
      </c>
    </row>
    <row r="16" spans="1:15">
      <c r="A16" t="str">
        <f>+'Monthly Data-Hours &amp; Miles'!$I$24</f>
        <v>April</v>
      </c>
      <c r="C16" s="17">
        <f>+'Monthly Data-Hours &amp; Miles'!$I$32</f>
        <v>561.75</v>
      </c>
      <c r="D16" s="17">
        <f t="shared" si="0"/>
        <v>486.20000000000005</v>
      </c>
      <c r="E16" s="17">
        <f>+'Monthly Data-Hours &amp; Miles'!I$26</f>
        <v>55.08</v>
      </c>
      <c r="F16" s="17">
        <f>+'Monthly Data-Hours &amp; Miles'!I$27</f>
        <v>20.47</v>
      </c>
      <c r="H16" s="17">
        <f t="shared" si="1"/>
        <v>486.20000000000005</v>
      </c>
      <c r="I16" s="17">
        <f t="shared" si="2"/>
        <v>428.53000000000003</v>
      </c>
      <c r="J16" s="17">
        <f>+'Monthly Data-Hours &amp; Miles'!I$36</f>
        <v>20.170000000000002</v>
      </c>
      <c r="K16" s="17">
        <f>+'Monthly Data-Hours &amp; Miles'!I$35</f>
        <v>37.5</v>
      </c>
    </row>
    <row r="17" spans="1:11">
      <c r="A17" t="str">
        <f>+'Monthly Data-Hours &amp; Miles'!$J$24</f>
        <v>May</v>
      </c>
      <c r="C17" s="17">
        <f>+'Monthly Data-Hours &amp; Miles'!$J$32</f>
        <v>625.74</v>
      </c>
      <c r="D17" s="17">
        <f t="shared" ref="D17:D21" si="3">+C17-E17-F17</f>
        <v>551.47</v>
      </c>
      <c r="E17" s="17">
        <f>+'Monthly Data-Hours &amp; Miles'!J$26</f>
        <v>50.42</v>
      </c>
      <c r="F17" s="17">
        <f>+'Monthly Data-Hours &amp; Miles'!J$27</f>
        <v>23.85</v>
      </c>
      <c r="H17" s="17">
        <f t="shared" ref="H17:H21" si="4">D17</f>
        <v>551.47</v>
      </c>
      <c r="I17" s="17">
        <f t="shared" ref="I17:I21" si="5">+H17-J17-K17</f>
        <v>495.45000000000005</v>
      </c>
      <c r="J17" s="17">
        <f>+'Monthly Data-Hours &amp; Miles'!J$36</f>
        <v>18.52</v>
      </c>
      <c r="K17" s="17">
        <f>+'Monthly Data-Hours &amp; Miles'!J$35</f>
        <v>37.5</v>
      </c>
    </row>
    <row r="18" spans="1:11">
      <c r="A18" t="str">
        <f>+'Monthly Data-Hours &amp; Miles'!$K$24</f>
        <v>June</v>
      </c>
      <c r="C18" s="17">
        <f>+'Monthly Data-Hours &amp; Miles'!$K$32</f>
        <v>660.92000000000007</v>
      </c>
      <c r="D18" s="17">
        <f t="shared" si="3"/>
        <v>588.71</v>
      </c>
      <c r="E18" s="17">
        <f>+'Monthly Data-Hours &amp; Miles'!K$26</f>
        <v>50.45</v>
      </c>
      <c r="F18" s="17">
        <f>+'Monthly Data-Hours &amp; Miles'!K$27</f>
        <v>21.76</v>
      </c>
      <c r="H18" s="17">
        <f t="shared" si="4"/>
        <v>588.71</v>
      </c>
      <c r="I18" s="17">
        <f t="shared" si="5"/>
        <v>532.46</v>
      </c>
      <c r="J18" s="17">
        <f>+'Monthly Data-Hours &amp; Miles'!K$36</f>
        <v>16</v>
      </c>
      <c r="K18" s="17">
        <f>+'Monthly Data-Hours &amp; Miles'!K$35</f>
        <v>40.25</v>
      </c>
    </row>
    <row r="19" spans="1:11">
      <c r="A19" t="str">
        <f>+'Monthly Data-Hours &amp; Miles'!$L$24</f>
        <v>July</v>
      </c>
      <c r="C19" s="17">
        <f>+'Monthly Data-Hours &amp; Miles'!$L$32</f>
        <v>675.68</v>
      </c>
      <c r="D19" s="17">
        <f t="shared" si="3"/>
        <v>603.21999999999991</v>
      </c>
      <c r="E19" s="17">
        <f>+'Monthly Data-Hours &amp; Miles'!L$26</f>
        <v>49.85</v>
      </c>
      <c r="F19" s="17">
        <f>+'Monthly Data-Hours &amp; Miles'!L$27</f>
        <v>22.61</v>
      </c>
      <c r="H19" s="17">
        <f t="shared" si="4"/>
        <v>603.21999999999991</v>
      </c>
      <c r="I19" s="17">
        <f t="shared" si="5"/>
        <v>540.30999999999995</v>
      </c>
      <c r="J19" s="17">
        <f>+'Monthly Data-Hours &amp; Miles'!L$36</f>
        <v>22.91</v>
      </c>
      <c r="K19" s="17">
        <f>+'Monthly Data-Hours &amp; Miles'!L$35</f>
        <v>40</v>
      </c>
    </row>
    <row r="20" spans="1:11">
      <c r="A20" t="str">
        <f>+'Monthly Data-Hours &amp; Miles'!$M$24</f>
        <v>August</v>
      </c>
      <c r="C20" s="17">
        <f>+'Monthly Data-Hours &amp; Miles'!$M$32</f>
        <v>762.57999999999993</v>
      </c>
      <c r="D20" s="17">
        <f t="shared" si="3"/>
        <v>677.53</v>
      </c>
      <c r="E20" s="17">
        <f>+'Monthly Data-Hours &amp; Miles'!M$26</f>
        <v>57.02</v>
      </c>
      <c r="F20" s="17">
        <f>+'Monthly Data-Hours &amp; Miles'!M$27</f>
        <v>28.03</v>
      </c>
      <c r="H20" s="17">
        <f t="shared" si="4"/>
        <v>677.53</v>
      </c>
      <c r="I20" s="17">
        <f t="shared" si="5"/>
        <v>611.53</v>
      </c>
      <c r="J20" s="17">
        <f>+'Monthly Data-Hours &amp; Miles'!M$36</f>
        <v>17</v>
      </c>
      <c r="K20" s="17">
        <f>+'Monthly Data-Hours &amp; Miles'!M$35</f>
        <v>49</v>
      </c>
    </row>
    <row r="21" spans="1:11">
      <c r="A21" t="str">
        <f>+'Monthly Data-Hours &amp; Miles'!$N$24</f>
        <v>September</v>
      </c>
      <c r="C21" s="19">
        <f>+'Monthly Data-Hours &amp; Miles'!$N$32</f>
        <v>658.51</v>
      </c>
      <c r="D21" s="19">
        <f t="shared" si="3"/>
        <v>581.17999999999995</v>
      </c>
      <c r="E21" s="19">
        <f>+'Monthly Data-Hours &amp; Miles'!N$26</f>
        <v>48.57</v>
      </c>
      <c r="F21" s="19">
        <f>+'Monthly Data-Hours &amp; Miles'!N$27</f>
        <v>28.76</v>
      </c>
      <c r="H21" s="19">
        <f t="shared" si="4"/>
        <v>581.17999999999995</v>
      </c>
      <c r="I21" s="19">
        <f t="shared" si="5"/>
        <v>530.92999999999995</v>
      </c>
      <c r="J21" s="19">
        <f>+'Monthly Data-Hours &amp; Miles'!N$36</f>
        <v>19.75</v>
      </c>
      <c r="K21" s="19">
        <f>+'Monthly Data-Hours &amp; Miles'!N$35</f>
        <v>30.5</v>
      </c>
    </row>
    <row r="22" spans="1:11">
      <c r="C22" s="18"/>
      <c r="H22" s="18"/>
    </row>
    <row r="23" spans="1:11" ht="13.5" thickBot="1">
      <c r="B23" t="s">
        <v>113</v>
      </c>
      <c r="C23" s="21">
        <f>SUM(C10:C21)</f>
        <v>7585.14</v>
      </c>
      <c r="D23" s="21">
        <f>SUM(D10:D21)</f>
        <v>6634.4100000000008</v>
      </c>
      <c r="E23" s="21">
        <f>SUM(E10:E21)</f>
        <v>654.19000000000005</v>
      </c>
      <c r="F23" s="21">
        <f>SUM(F10:F21)</f>
        <v>296.53999999999996</v>
      </c>
      <c r="H23" s="21">
        <f>SUM(H10:H21)</f>
        <v>6634.4100000000008</v>
      </c>
      <c r="I23" s="21">
        <f>SUM(I10:I21)</f>
        <v>5935.63</v>
      </c>
      <c r="J23" s="21">
        <f>SUM(J10:J21)</f>
        <v>217.85</v>
      </c>
      <c r="K23" s="21">
        <f>SUM(K10:K21)</f>
        <v>480.93</v>
      </c>
    </row>
    <row r="24" spans="1:11" ht="13.5" thickTop="1"/>
    <row r="25" spans="1:11" ht="13.5" thickBot="1">
      <c r="B25" t="s">
        <v>106</v>
      </c>
      <c r="C25" s="14">
        <f>SUM(D25:F25)</f>
        <v>1</v>
      </c>
      <c r="D25" s="14">
        <f>+D23/C23</f>
        <v>0.87465887247961149</v>
      </c>
      <c r="E25" s="14">
        <f>+E23/C23</f>
        <v>8.6246265724825119E-2</v>
      </c>
      <c r="F25" s="14">
        <f>+F23/C23</f>
        <v>3.9094861795563422E-2</v>
      </c>
      <c r="H25" s="14">
        <f>SUM(I25:K25)</f>
        <v>1</v>
      </c>
      <c r="I25" s="14">
        <f>+I23/H23</f>
        <v>0.89467337713526895</v>
      </c>
      <c r="J25" s="14">
        <f>+J23/H23</f>
        <v>3.2836378818915317E-2</v>
      </c>
      <c r="K25" s="14">
        <f>+K23/H23</f>
        <v>7.2490244045815666E-2</v>
      </c>
    </row>
    <row r="26" spans="1:11" ht="13.5" thickTop="1"/>
    <row r="29" spans="1:11">
      <c r="H29" s="90" t="s">
        <v>2</v>
      </c>
      <c r="I29" s="90" t="s">
        <v>344</v>
      </c>
      <c r="J29" s="83" t="s">
        <v>337</v>
      </c>
      <c r="K29" s="83" t="s">
        <v>339</v>
      </c>
    </row>
    <row r="30" spans="1:11" ht="13.5" thickBot="1">
      <c r="A30" t="s">
        <v>114</v>
      </c>
      <c r="C30" s="20" t="s">
        <v>2</v>
      </c>
      <c r="D30" s="20" t="s">
        <v>104</v>
      </c>
      <c r="E30" s="20" t="s">
        <v>112</v>
      </c>
      <c r="F30" s="20" t="s">
        <v>109</v>
      </c>
      <c r="H30" s="92" t="s">
        <v>104</v>
      </c>
      <c r="I30" s="20" t="s">
        <v>104</v>
      </c>
      <c r="J30" s="92" t="s">
        <v>338</v>
      </c>
      <c r="K30" s="92" t="s">
        <v>338</v>
      </c>
    </row>
    <row r="31" spans="1:11">
      <c r="E31" s="17"/>
      <c r="J31" s="17"/>
    </row>
    <row r="32" spans="1:11">
      <c r="A32" t="str">
        <f>+'Monthly Data-Hours &amp; Miles'!$C$24</f>
        <v xml:space="preserve">October </v>
      </c>
      <c r="C32" s="17">
        <f>+'Monthly Data-Hours &amp; Miles'!$C$67</f>
        <v>987.04</v>
      </c>
      <c r="D32" s="17">
        <f>+C32-E32-F32</f>
        <v>868.46</v>
      </c>
      <c r="E32" s="17">
        <f>+'Monthly Data-Hours &amp; Miles'!$C$61</f>
        <v>80.14</v>
      </c>
      <c r="F32" s="17">
        <f>+'Monthly Data-Hours &amp; Miles'!$C$62</f>
        <v>38.44</v>
      </c>
      <c r="H32" s="17">
        <f>D32</f>
        <v>868.46</v>
      </c>
      <c r="I32" s="17">
        <f>+H32-J32-K32</f>
        <v>806.46</v>
      </c>
      <c r="J32" s="17">
        <f>+'Monthly Data-Hours &amp; Miles'!$C$71</f>
        <v>24</v>
      </c>
      <c r="K32" s="17">
        <f>+'Monthly Data-Hours &amp; Miles'!$C$70</f>
        <v>38</v>
      </c>
    </row>
    <row r="33" spans="1:11">
      <c r="A33" t="str">
        <f>+'Monthly Data-Hours &amp; Miles'!$D$24</f>
        <v>November</v>
      </c>
      <c r="C33" s="17">
        <f>+'Monthly Data-Hours &amp; Miles'!$D$67</f>
        <v>887.49</v>
      </c>
      <c r="D33" s="17">
        <f t="shared" ref="D33:D38" si="6">+C33-E33-F33</f>
        <v>752.23</v>
      </c>
      <c r="E33" s="17">
        <f>+'Monthly Data-Hours &amp; Miles'!$D$61</f>
        <v>91.06</v>
      </c>
      <c r="F33" s="17">
        <f>+'Monthly Data-Hours &amp; Miles'!$D$62</f>
        <v>44.2</v>
      </c>
      <c r="H33" s="17">
        <f t="shared" ref="H33:H38" si="7">D33</f>
        <v>752.23</v>
      </c>
      <c r="I33" s="17">
        <f t="shared" ref="I33:I38" si="8">+H33-J33-K33</f>
        <v>694.98</v>
      </c>
      <c r="J33" s="17">
        <f>+'Monthly Data-Hours &amp; Miles'!$D$71</f>
        <v>15.5</v>
      </c>
      <c r="K33" s="17">
        <f>+'Monthly Data-Hours &amp; Miles'!$D$70</f>
        <v>41.75</v>
      </c>
    </row>
    <row r="34" spans="1:11">
      <c r="A34" t="str">
        <f>+'Monthly Data-Hours &amp; Miles'!$E$24</f>
        <v>December</v>
      </c>
      <c r="C34" s="17">
        <f>+'Monthly Data-Hours &amp; Miles'!$E$67</f>
        <v>839.90000000000009</v>
      </c>
      <c r="D34" s="17">
        <f t="shared" si="6"/>
        <v>746.06000000000006</v>
      </c>
      <c r="E34" s="17">
        <f>+'Monthly Data-Hours &amp; Miles'!$E$61</f>
        <v>61.76</v>
      </c>
      <c r="F34" s="17">
        <f>+'Monthly Data-Hours &amp; Miles'!$E$62</f>
        <v>32.08</v>
      </c>
      <c r="H34" s="17">
        <f t="shared" si="7"/>
        <v>746.06000000000006</v>
      </c>
      <c r="I34" s="17">
        <f t="shared" si="8"/>
        <v>690.63000000000011</v>
      </c>
      <c r="J34" s="17">
        <f>+'Monthly Data-Hours &amp; Miles'!$E$71</f>
        <v>21</v>
      </c>
      <c r="K34" s="17">
        <f>+'Monthly Data-Hours &amp; Miles'!$E$70</f>
        <v>34.43</v>
      </c>
    </row>
    <row r="35" spans="1:11">
      <c r="A35" t="str">
        <f>+'Monthly Data-Hours &amp; Miles'!$F$24</f>
        <v>January</v>
      </c>
      <c r="C35" s="17">
        <f>+'Monthly Data-Hours &amp; Miles'!$F$67</f>
        <v>886.81000000000006</v>
      </c>
      <c r="D35" s="17">
        <f t="shared" si="6"/>
        <v>768.73000000000013</v>
      </c>
      <c r="E35" s="17">
        <f>+'Monthly Data-Hours &amp; Miles'!$F$61</f>
        <v>81.94</v>
      </c>
      <c r="F35" s="17">
        <f>+'Monthly Data-Hours &amp; Miles'!$F$62</f>
        <v>36.14</v>
      </c>
      <c r="H35" s="17">
        <f t="shared" si="7"/>
        <v>768.73000000000013</v>
      </c>
      <c r="I35" s="17">
        <f t="shared" si="8"/>
        <v>714.23000000000013</v>
      </c>
      <c r="J35" s="17">
        <f>+'Monthly Data-Hours &amp; Miles'!$F$71</f>
        <v>8</v>
      </c>
      <c r="K35" s="17">
        <f>+'Monthly Data-Hours &amp; Miles'!$F$70</f>
        <v>46.5</v>
      </c>
    </row>
    <row r="36" spans="1:11">
      <c r="A36" t="str">
        <f>+'Monthly Data-Hours &amp; Miles'!$G$24</f>
        <v>February</v>
      </c>
      <c r="C36" s="17">
        <f>+'Monthly Data-Hours &amp; Miles'!$G$67</f>
        <v>824.66</v>
      </c>
      <c r="D36" s="17">
        <f t="shared" si="6"/>
        <v>713.25999999999988</v>
      </c>
      <c r="E36" s="17">
        <f>+'Monthly Data-Hours &amp; Miles'!$G$61</f>
        <v>81.459999999999994</v>
      </c>
      <c r="F36" s="17">
        <f>+'Monthly Data-Hours &amp; Miles'!$G$62</f>
        <v>29.94</v>
      </c>
      <c r="H36" s="17">
        <f t="shared" si="7"/>
        <v>713.25999999999988</v>
      </c>
      <c r="I36" s="17">
        <f t="shared" si="8"/>
        <v>660.75999999999988</v>
      </c>
      <c r="J36" s="17">
        <f>+'Monthly Data-Hours &amp; Miles'!$G$71</f>
        <v>16.5</v>
      </c>
      <c r="K36" s="17">
        <f>+'Monthly Data-Hours &amp; Miles'!$G$70</f>
        <v>36</v>
      </c>
    </row>
    <row r="37" spans="1:11">
      <c r="A37" t="str">
        <f>+'Monthly Data-Hours &amp; Miles'!$H$24</f>
        <v>March</v>
      </c>
      <c r="C37" s="17">
        <f>+'Monthly Data-Hours &amp; Miles'!$H$67</f>
        <v>910.77</v>
      </c>
      <c r="D37" s="17">
        <f t="shared" si="6"/>
        <v>782.91</v>
      </c>
      <c r="E37" s="17">
        <f>+'Monthly Data-Hours &amp; Miles'!$H$61</f>
        <v>92.65</v>
      </c>
      <c r="F37" s="17">
        <f>+'Monthly Data-Hours &amp; Miles'!$H$62</f>
        <v>35.21</v>
      </c>
      <c r="H37" s="17">
        <f t="shared" si="7"/>
        <v>782.91</v>
      </c>
      <c r="I37" s="17">
        <f t="shared" si="8"/>
        <v>714.91</v>
      </c>
      <c r="J37" s="17">
        <f>+'Monthly Data-Hours &amp; Miles'!$H$71</f>
        <v>18.5</v>
      </c>
      <c r="K37" s="17">
        <f>+'Monthly Data-Hours &amp; Miles'!$H$70</f>
        <v>49.5</v>
      </c>
    </row>
    <row r="38" spans="1:11">
      <c r="A38" t="str">
        <f>+'Monthly Data-Hours &amp; Miles'!$I$24</f>
        <v>April</v>
      </c>
      <c r="C38" s="17">
        <f>+'Monthly Data-Hours &amp; Miles'!$I$67</f>
        <v>796.25</v>
      </c>
      <c r="D38" s="17">
        <f t="shared" si="6"/>
        <v>687.90000000000009</v>
      </c>
      <c r="E38" s="17">
        <f>+'Monthly Data-Hours &amp; Miles'!$I$61</f>
        <v>79.069999999999993</v>
      </c>
      <c r="F38" s="17">
        <f>+'Monthly Data-Hours &amp; Miles'!$I$62</f>
        <v>29.28</v>
      </c>
      <c r="H38" s="17">
        <f t="shared" si="7"/>
        <v>687.90000000000009</v>
      </c>
      <c r="I38" s="17">
        <f t="shared" si="8"/>
        <v>630.23000000000013</v>
      </c>
      <c r="J38" s="17">
        <f>+'Monthly Data-Hours &amp; Miles'!$I$71</f>
        <v>20.170000000000002</v>
      </c>
      <c r="K38" s="17">
        <f>+'Monthly Data-Hours &amp; Miles'!$I$70</f>
        <v>37.5</v>
      </c>
    </row>
    <row r="39" spans="1:11">
      <c r="A39" t="str">
        <f>+'Monthly Data-Hours &amp; Miles'!$J$24</f>
        <v>May</v>
      </c>
      <c r="C39" s="17">
        <f>+'Monthly Data-Hours &amp; Miles'!$J$67</f>
        <v>952.95999999999981</v>
      </c>
      <c r="D39" s="17">
        <f t="shared" ref="D39:D43" si="9">+C39-E39-F39</f>
        <v>856.16999999999985</v>
      </c>
      <c r="E39" s="17">
        <f>+'Monthly Data-Hours &amp; Miles'!$J$61</f>
        <v>62.42</v>
      </c>
      <c r="F39" s="17">
        <f>+'Monthly Data-Hours &amp; Miles'!$J$62</f>
        <v>34.369999999999997</v>
      </c>
      <c r="H39" s="17">
        <f t="shared" ref="H39:H43" si="10">D39</f>
        <v>856.16999999999985</v>
      </c>
      <c r="I39" s="17">
        <f t="shared" ref="I39:I43" si="11">+H39-J39-K39</f>
        <v>800.14999999999986</v>
      </c>
      <c r="J39" s="17">
        <f>+'Monthly Data-Hours &amp; Miles'!$J$71</f>
        <v>18.52</v>
      </c>
      <c r="K39" s="17">
        <f>+'Monthly Data-Hours &amp; Miles'!$J$70</f>
        <v>37.5</v>
      </c>
    </row>
    <row r="40" spans="1:11">
      <c r="A40" t="str">
        <f>+'Monthly Data-Hours &amp; Miles'!$K$24</f>
        <v>June</v>
      </c>
      <c r="C40" s="17">
        <f>+'Monthly Data-Hours &amp; Miles'!$K$67</f>
        <v>962.83999999999992</v>
      </c>
      <c r="D40" s="17">
        <f t="shared" si="9"/>
        <v>866.16999999999985</v>
      </c>
      <c r="E40" s="17">
        <f>+'Monthly Data-Hours &amp; Miles'!$K$61</f>
        <v>66.23</v>
      </c>
      <c r="F40" s="17">
        <f>+'Monthly Data-Hours &amp; Miles'!$K$62</f>
        <v>30.44</v>
      </c>
      <c r="H40" s="17">
        <f t="shared" si="10"/>
        <v>866.16999999999985</v>
      </c>
      <c r="I40" s="17">
        <f t="shared" si="11"/>
        <v>809.91999999999985</v>
      </c>
      <c r="J40" s="17">
        <f>+'Monthly Data-Hours &amp; Miles'!$K$71</f>
        <v>16</v>
      </c>
      <c r="K40" s="17">
        <f>+'Monthly Data-Hours &amp; Miles'!$K$70</f>
        <v>40.25</v>
      </c>
    </row>
    <row r="41" spans="1:11">
      <c r="A41" t="str">
        <f>+'Monthly Data-Hours &amp; Miles'!$L$24</f>
        <v>July</v>
      </c>
      <c r="C41" s="17">
        <f>+'Monthly Data-Hours &amp; Miles'!$L$67</f>
        <v>953.79</v>
      </c>
      <c r="D41" s="17">
        <f t="shared" si="9"/>
        <v>859.87</v>
      </c>
      <c r="E41" s="17">
        <f>+'Monthly Data-Hours &amp; Miles'!$L$61</f>
        <v>63.54</v>
      </c>
      <c r="F41" s="17">
        <f>+'Monthly Data-Hours &amp; Miles'!$L$62</f>
        <v>30.38</v>
      </c>
      <c r="H41" s="17">
        <f t="shared" si="10"/>
        <v>859.87</v>
      </c>
      <c r="I41" s="17">
        <f t="shared" si="11"/>
        <v>796.96</v>
      </c>
      <c r="J41" s="17">
        <f>+'Monthly Data-Hours &amp; Miles'!$L$71</f>
        <v>22.91</v>
      </c>
      <c r="K41" s="17">
        <f>+'Monthly Data-Hours &amp; Miles'!$L$70</f>
        <v>40</v>
      </c>
    </row>
    <row r="42" spans="1:11">
      <c r="A42" t="str">
        <f>+'Monthly Data-Hours &amp; Miles'!$M$24</f>
        <v>August</v>
      </c>
      <c r="C42" s="17">
        <f>+'Monthly Data-Hours &amp; Miles'!$M$67</f>
        <v>1108.6500000000001</v>
      </c>
      <c r="D42" s="17">
        <f t="shared" si="9"/>
        <v>994.30000000000018</v>
      </c>
      <c r="E42" s="17">
        <f>+'Monthly Data-Hours &amp; Miles'!$M$61</f>
        <v>75.12</v>
      </c>
      <c r="F42" s="17">
        <f>+'Monthly Data-Hours &amp; Miles'!$M$62</f>
        <v>39.229999999999997</v>
      </c>
      <c r="H42" s="17">
        <f t="shared" si="10"/>
        <v>994.30000000000018</v>
      </c>
      <c r="I42" s="17">
        <f t="shared" si="11"/>
        <v>928.30000000000018</v>
      </c>
      <c r="J42" s="17">
        <f>+'Monthly Data-Hours &amp; Miles'!$M$71</f>
        <v>17</v>
      </c>
      <c r="K42" s="17">
        <f>+'Monthly Data-Hours &amp; Miles'!$M$70</f>
        <v>49</v>
      </c>
    </row>
    <row r="43" spans="1:11">
      <c r="A43" t="str">
        <f>+'Monthly Data-Hours &amp; Miles'!$N$24</f>
        <v>September</v>
      </c>
      <c r="C43" s="19">
        <f>+'Monthly Data-Hours &amp; Miles'!$N$67</f>
        <v>931.27</v>
      </c>
      <c r="D43" s="19">
        <f t="shared" si="9"/>
        <v>828.6099999999999</v>
      </c>
      <c r="E43" s="19">
        <f>+'Monthly Data-Hours &amp; Miles'!$N$61</f>
        <v>66.47</v>
      </c>
      <c r="F43" s="19">
        <f>+'Monthly Data-Hours &amp; Miles'!$N$62</f>
        <v>36.19</v>
      </c>
      <c r="H43" s="19">
        <f t="shared" si="10"/>
        <v>828.6099999999999</v>
      </c>
      <c r="I43" s="19">
        <f t="shared" si="11"/>
        <v>771.3599999999999</v>
      </c>
      <c r="J43" s="19">
        <f>+'Monthly Data-Hours &amp; Miles'!$N$71</f>
        <v>26.75</v>
      </c>
      <c r="K43" s="19">
        <f>+'Monthly Data-Hours &amp; Miles'!$N$70</f>
        <v>30.5</v>
      </c>
    </row>
    <row r="44" spans="1:11">
      <c r="C44" s="18"/>
      <c r="H44" s="18"/>
    </row>
    <row r="45" spans="1:11" ht="13.5" thickBot="1">
      <c r="B45" t="s">
        <v>113</v>
      </c>
      <c r="C45" s="21">
        <f>SUM(C32:C43)</f>
        <v>11042.43</v>
      </c>
      <c r="D45" s="21">
        <f>SUM(D32:D43)</f>
        <v>9724.67</v>
      </c>
      <c r="E45" s="21">
        <f>SUM(E32:E43)</f>
        <v>901.8599999999999</v>
      </c>
      <c r="F45" s="21">
        <f>SUM(F32:F43)</f>
        <v>415.90000000000003</v>
      </c>
      <c r="H45" s="21">
        <f>SUM(H32:H43)</f>
        <v>9724.67</v>
      </c>
      <c r="I45" s="21">
        <f>SUM(I32:I43)</f>
        <v>9018.8900000000012</v>
      </c>
      <c r="J45" s="21">
        <f>SUM(J32:J43)</f>
        <v>224.85</v>
      </c>
      <c r="K45" s="21">
        <f>SUM(K32:K43)</f>
        <v>480.93</v>
      </c>
    </row>
    <row r="46" spans="1:11" ht="13.5" thickTop="1"/>
    <row r="47" spans="1:11" ht="13.5" thickBot="1">
      <c r="B47" t="s">
        <v>106</v>
      </c>
      <c r="C47" s="14">
        <f>SUM(D47:F47)</f>
        <v>1</v>
      </c>
      <c r="D47" s="14">
        <f>+D45/C45</f>
        <v>0.88066394806215664</v>
      </c>
      <c r="E47" s="14">
        <f>+E45/C45</f>
        <v>8.167224062095027E-2</v>
      </c>
      <c r="F47" s="14">
        <f>+F45/C45</f>
        <v>3.7663811316893114E-2</v>
      </c>
      <c r="H47" s="14">
        <f>SUM(I47:K47)</f>
        <v>1.0000000000000002</v>
      </c>
      <c r="I47" s="14">
        <f>+I45/H45</f>
        <v>0.92742375833832935</v>
      </c>
      <c r="J47" s="14">
        <f>+J45/H45</f>
        <v>2.3121607211350103E-2</v>
      </c>
      <c r="K47" s="14">
        <f>+K45/H45</f>
        <v>4.9454634450320681E-2</v>
      </c>
    </row>
    <row r="48" spans="1:11" ht="13.5" thickTop="1">
      <c r="C48" s="96"/>
      <c r="D48" s="96"/>
      <c r="E48" s="96"/>
      <c r="F48" s="96"/>
      <c r="H48" s="96"/>
      <c r="I48" s="96"/>
      <c r="J48" s="96"/>
      <c r="K48" s="97"/>
    </row>
    <row r="49" spans="1:12">
      <c r="K49" s="83"/>
    </row>
    <row r="50" spans="1:12">
      <c r="A50" s="83" t="s">
        <v>349</v>
      </c>
      <c r="I50" s="94">
        <f>I45/(I45+J45)</f>
        <v>0.97567543007483981</v>
      </c>
      <c r="J50" s="95">
        <f>J45/(I45+J45)</f>
        <v>2.4324569925160158E-2</v>
      </c>
      <c r="K50" s="94">
        <v>0</v>
      </c>
      <c r="L50" s="83" t="s">
        <v>351</v>
      </c>
    </row>
    <row r="51" spans="1:12">
      <c r="A51" s="83" t="s">
        <v>350</v>
      </c>
      <c r="I51" s="94">
        <f>I45/(I45+K45)</f>
        <v>0.94937483025994174</v>
      </c>
      <c r="J51" s="95">
        <v>0</v>
      </c>
      <c r="K51" s="94">
        <f>K45/(I45+K45)</f>
        <v>5.0625169740058228E-2</v>
      </c>
      <c r="L51" s="83" t="s">
        <v>352</v>
      </c>
    </row>
    <row r="53" spans="1:12">
      <c r="H53" s="90" t="s">
        <v>2</v>
      </c>
      <c r="I53" s="90" t="s">
        <v>344</v>
      </c>
      <c r="J53" s="83" t="s">
        <v>337</v>
      </c>
      <c r="K53" s="83" t="s">
        <v>339</v>
      </c>
    </row>
    <row r="54" spans="1:12" ht="13.5" thickBot="1">
      <c r="A54" t="s">
        <v>115</v>
      </c>
      <c r="C54" s="20" t="s">
        <v>2</v>
      </c>
      <c r="D54" s="20" t="s">
        <v>104</v>
      </c>
      <c r="E54" s="20" t="s">
        <v>112</v>
      </c>
      <c r="F54" s="20" t="s">
        <v>109</v>
      </c>
      <c r="H54" s="92" t="s">
        <v>104</v>
      </c>
      <c r="I54" s="20" t="s">
        <v>104</v>
      </c>
      <c r="J54" s="92" t="s">
        <v>338</v>
      </c>
      <c r="K54" s="92" t="s">
        <v>338</v>
      </c>
    </row>
    <row r="55" spans="1:12">
      <c r="E55" s="17"/>
      <c r="J55" s="17"/>
    </row>
    <row r="56" spans="1:12">
      <c r="A56" t="str">
        <f>+'Monthly Data-Hours &amp; Miles'!$C$24</f>
        <v xml:space="preserve">October </v>
      </c>
      <c r="C56" s="17">
        <f>+'Monthly Data-Hours &amp; Miles'!$C$49</f>
        <v>6712</v>
      </c>
      <c r="D56" s="17">
        <f>+C56-E56-F56</f>
        <v>6028</v>
      </c>
      <c r="E56" s="17">
        <f>+'Monthly Data-Hours &amp; Miles'!$C$43</f>
        <v>400</v>
      </c>
      <c r="F56" s="17">
        <f>+'Monthly Data-Hours &amp; Miles'!$C$44</f>
        <v>284</v>
      </c>
      <c r="H56" s="17">
        <f>D56</f>
        <v>6028</v>
      </c>
      <c r="I56" s="17">
        <f>+H56-J56-K56</f>
        <v>5288</v>
      </c>
      <c r="J56" s="17">
        <f>+'Monthly Data-Hours &amp; Miles'!$C$53</f>
        <v>232</v>
      </c>
      <c r="K56" s="17">
        <f>+'Monthly Data-Hours &amp; Miles'!$C$52</f>
        <v>508</v>
      </c>
    </row>
    <row r="57" spans="1:12">
      <c r="A57" t="str">
        <f>+'Monthly Data-Hours &amp; Miles'!$D$24</f>
        <v>November</v>
      </c>
      <c r="C57" s="17">
        <f>+'Monthly Data-Hours &amp; Miles'!$D$49</f>
        <v>6894</v>
      </c>
      <c r="D57" s="17">
        <f t="shared" ref="D57:D67" si="12">+C57-E57-F57</f>
        <v>5989</v>
      </c>
      <c r="E57" s="17">
        <f>+'Monthly Data-Hours &amp; Miles'!$D$43</f>
        <v>600</v>
      </c>
      <c r="F57" s="17">
        <f>+'Monthly Data-Hours &amp; Miles'!$D$44</f>
        <v>305</v>
      </c>
      <c r="H57" s="17">
        <f t="shared" ref="H57:H67" si="13">D57</f>
        <v>5989</v>
      </c>
      <c r="I57" s="17">
        <f t="shared" ref="I57:I67" si="14">+H57-J57-K57</f>
        <v>5286</v>
      </c>
      <c r="J57" s="17">
        <f>+'Monthly Data-Hours &amp; Miles'!$D$53</f>
        <v>161</v>
      </c>
      <c r="K57" s="17">
        <f>+'Monthly Data-Hours &amp; Miles'!$D$52</f>
        <v>542</v>
      </c>
    </row>
    <row r="58" spans="1:12">
      <c r="A58" t="str">
        <f>+'Monthly Data-Hours &amp; Miles'!$E$24</f>
        <v>December</v>
      </c>
      <c r="C58" s="17">
        <f>+'Monthly Data-Hours &amp; Miles'!$E$49</f>
        <v>6423</v>
      </c>
      <c r="D58" s="17">
        <f t="shared" si="12"/>
        <v>5616</v>
      </c>
      <c r="E58" s="17">
        <f>+'Monthly Data-Hours &amp; Miles'!$E$43</f>
        <v>504</v>
      </c>
      <c r="F58" s="17">
        <f>+'Monthly Data-Hours &amp; Miles'!$E$44</f>
        <v>303</v>
      </c>
      <c r="H58" s="17">
        <f t="shared" si="13"/>
        <v>5616</v>
      </c>
      <c r="I58" s="17">
        <f t="shared" si="14"/>
        <v>4965</v>
      </c>
      <c r="J58" s="17">
        <f>+'Monthly Data-Hours &amp; Miles'!$E$53</f>
        <v>213</v>
      </c>
      <c r="K58" s="17">
        <f>+'Monthly Data-Hours &amp; Miles'!$E$52</f>
        <v>438</v>
      </c>
    </row>
    <row r="59" spans="1:12">
      <c r="A59" t="str">
        <f>+'Monthly Data-Hours &amp; Miles'!$F$24</f>
        <v>January</v>
      </c>
      <c r="C59" s="17">
        <f>+'Monthly Data-Hours &amp; Miles'!$F$49</f>
        <v>5574</v>
      </c>
      <c r="D59" s="17">
        <f t="shared" si="12"/>
        <v>4785</v>
      </c>
      <c r="E59" s="17">
        <f>+'Monthly Data-Hours &amp; Miles'!$F$43</f>
        <v>508</v>
      </c>
      <c r="F59" s="17">
        <f>+'Monthly Data-Hours &amp; Miles'!$F$44</f>
        <v>281</v>
      </c>
      <c r="H59" s="17">
        <f t="shared" si="13"/>
        <v>4785</v>
      </c>
      <c r="I59" s="17">
        <f t="shared" si="14"/>
        <v>4091</v>
      </c>
      <c r="J59" s="17">
        <f>+'Monthly Data-Hours &amp; Miles'!$F$53</f>
        <v>108</v>
      </c>
      <c r="K59" s="17">
        <f>+'Monthly Data-Hours &amp; Miles'!$F$52</f>
        <v>586</v>
      </c>
    </row>
    <row r="60" spans="1:12">
      <c r="A60" t="str">
        <f>+'Monthly Data-Hours &amp; Miles'!$G$24</f>
        <v>February</v>
      </c>
      <c r="C60" s="17">
        <f>+'Monthly Data-Hours &amp; Miles'!$G$49</f>
        <v>5266</v>
      </c>
      <c r="D60" s="17">
        <f t="shared" si="12"/>
        <v>4451</v>
      </c>
      <c r="E60" s="17">
        <f>+'Monthly Data-Hours &amp; Miles'!$G$43</f>
        <v>565</v>
      </c>
      <c r="F60" s="17">
        <f>+'Monthly Data-Hours &amp; Miles'!$G$44</f>
        <v>250</v>
      </c>
      <c r="H60" s="17">
        <f t="shared" si="13"/>
        <v>4451</v>
      </c>
      <c r="I60" s="17">
        <f t="shared" si="14"/>
        <v>3772</v>
      </c>
      <c r="J60" s="17">
        <f>+'Monthly Data-Hours &amp; Miles'!$G$53</f>
        <v>169</v>
      </c>
      <c r="K60" s="17">
        <f>+'Monthly Data-Hours &amp; Miles'!$G$52</f>
        <v>510</v>
      </c>
    </row>
    <row r="61" spans="1:12">
      <c r="A61" t="str">
        <f>+'Monthly Data-Hours &amp; Miles'!$H$24</f>
        <v>March</v>
      </c>
      <c r="C61" s="17">
        <f>+'Monthly Data-Hours &amp; Miles'!$H$49</f>
        <v>7132</v>
      </c>
      <c r="D61" s="17">
        <f t="shared" si="12"/>
        <v>6087</v>
      </c>
      <c r="E61" s="17">
        <f>+'Monthly Data-Hours &amp; Miles'!$H$43</f>
        <v>726</v>
      </c>
      <c r="F61" s="17">
        <f>+'Monthly Data-Hours &amp; Miles'!$H$44</f>
        <v>319</v>
      </c>
      <c r="H61" s="17">
        <f t="shared" si="13"/>
        <v>6087</v>
      </c>
      <c r="I61" s="17">
        <f t="shared" si="14"/>
        <v>5189</v>
      </c>
      <c r="J61" s="17">
        <f>+'Monthly Data-Hours &amp; Miles'!H$53</f>
        <v>210</v>
      </c>
      <c r="K61" s="17">
        <f>+'Monthly Data-Hours &amp; Miles'!$H$52</f>
        <v>688</v>
      </c>
    </row>
    <row r="62" spans="1:12">
      <c r="A62" t="str">
        <f>+'Monthly Data-Hours &amp; Miles'!$I$24</f>
        <v>April</v>
      </c>
      <c r="C62" s="17">
        <f>+'Monthly Data-Hours &amp; Miles'!$I$49</f>
        <v>6282</v>
      </c>
      <c r="D62" s="17">
        <f t="shared" si="12"/>
        <v>5433</v>
      </c>
      <c r="E62" s="17">
        <f>+'Monthly Data-Hours &amp; Miles'!$I$43</f>
        <v>571</v>
      </c>
      <c r="F62" s="17">
        <f>+'Monthly Data-Hours &amp; Miles'!$I$44</f>
        <v>278</v>
      </c>
      <c r="H62" s="17">
        <f t="shared" si="13"/>
        <v>5433</v>
      </c>
      <c r="I62" s="17">
        <f t="shared" si="14"/>
        <v>4670</v>
      </c>
      <c r="J62" s="17">
        <f>+'Monthly Data-Hours &amp; Miles'!$I$53</f>
        <v>220</v>
      </c>
      <c r="K62" s="17">
        <f>+'Monthly Data-Hours &amp; Miles'!$I$52</f>
        <v>543</v>
      </c>
    </row>
    <row r="63" spans="1:12">
      <c r="A63" t="str">
        <f>+'Monthly Data-Hours &amp; Miles'!$J$24</f>
        <v>May</v>
      </c>
      <c r="C63" s="17">
        <f>+'Monthly Data-Hours &amp; Miles'!$J$49</f>
        <v>6934</v>
      </c>
      <c r="D63" s="17">
        <f t="shared" ref="D63:D66" si="15">+C63-E63-F63</f>
        <v>6088</v>
      </c>
      <c r="E63" s="17">
        <f>+'Monthly Data-Hours &amp; Miles'!$J$43</f>
        <v>536</v>
      </c>
      <c r="F63" s="17">
        <f>+'Monthly Data-Hours &amp; Miles'!$J$44</f>
        <v>310</v>
      </c>
      <c r="H63" s="17">
        <f t="shared" ref="H63:H66" si="16">D63</f>
        <v>6088</v>
      </c>
      <c r="I63" s="17">
        <f t="shared" ref="I63:I66" si="17">+H63-J63-K63</f>
        <v>5366</v>
      </c>
      <c r="J63" s="17">
        <f>+'Monthly Data-Hours &amp; Miles'!$J$53</f>
        <v>193</v>
      </c>
      <c r="K63" s="17">
        <f>+'Monthly Data-Hours &amp; Miles'!$J$52</f>
        <v>529</v>
      </c>
    </row>
    <row r="64" spans="1:12">
      <c r="A64" t="str">
        <f>+'Monthly Data-Hours &amp; Miles'!$K$24</f>
        <v>June</v>
      </c>
      <c r="C64" s="17">
        <f>+'Monthly Data-Hours &amp; Miles'!$K$49</f>
        <v>7236</v>
      </c>
      <c r="D64" s="17">
        <f t="shared" si="15"/>
        <v>6405</v>
      </c>
      <c r="E64" s="17">
        <f>+'Monthly Data-Hours &amp; Miles'!$K$43</f>
        <v>544</v>
      </c>
      <c r="F64" s="17">
        <f>+'Monthly Data-Hours &amp; Miles'!$K$44</f>
        <v>287</v>
      </c>
      <c r="H64" s="17">
        <f t="shared" si="16"/>
        <v>6405</v>
      </c>
      <c r="I64" s="17">
        <f t="shared" si="17"/>
        <v>5739</v>
      </c>
      <c r="J64" s="17">
        <f>+'Monthly Data-Hours &amp; Miles'!$K$53</f>
        <v>190</v>
      </c>
      <c r="K64" s="17">
        <f>+'Monthly Data-Hours &amp; Miles'!$K$52</f>
        <v>476</v>
      </c>
    </row>
    <row r="65" spans="1:12">
      <c r="A65" t="str">
        <f>+'Monthly Data-Hours &amp; Miles'!$L$24</f>
        <v>July</v>
      </c>
      <c r="C65" s="17">
        <f>+'Monthly Data-Hours &amp; Miles'!$L$49</f>
        <v>7601</v>
      </c>
      <c r="D65" s="17">
        <f t="shared" si="15"/>
        <v>6753</v>
      </c>
      <c r="E65" s="17">
        <f>+'Monthly Data-Hours &amp; Miles'!$L$43</f>
        <v>544</v>
      </c>
      <c r="F65" s="17">
        <f>+'Monthly Data-Hours &amp; Miles'!$L$44</f>
        <v>304</v>
      </c>
      <c r="H65" s="17">
        <f t="shared" si="16"/>
        <v>6753</v>
      </c>
      <c r="I65" s="17">
        <f t="shared" si="17"/>
        <v>6029</v>
      </c>
      <c r="J65" s="17">
        <f>+'Monthly Data-Hours &amp; Miles'!$L$53</f>
        <v>247</v>
      </c>
      <c r="K65" s="17">
        <f>+'Monthly Data-Hours &amp; Miles'!$L$52</f>
        <v>477</v>
      </c>
    </row>
    <row r="66" spans="1:12">
      <c r="A66" t="str">
        <f>+'Monthly Data-Hours &amp; Miles'!$M$24</f>
        <v>August</v>
      </c>
      <c r="C66" s="17">
        <f>+'Monthly Data-Hours &amp; Miles'!$M$49</f>
        <v>8422</v>
      </c>
      <c r="D66" s="17">
        <f t="shared" si="15"/>
        <v>7485</v>
      </c>
      <c r="E66" s="17">
        <f>+'Monthly Data-Hours &amp; Miles'!$M$43</f>
        <v>611</v>
      </c>
      <c r="F66" s="17">
        <f>+'Monthly Data-Hours &amp; Miles'!$M$44</f>
        <v>326</v>
      </c>
      <c r="H66" s="17">
        <f t="shared" si="16"/>
        <v>7485</v>
      </c>
      <c r="I66" s="17">
        <f t="shared" si="17"/>
        <v>6648</v>
      </c>
      <c r="J66" s="17">
        <f>+'Monthly Data-Hours &amp; Miles'!$M$53</f>
        <v>189</v>
      </c>
      <c r="K66" s="17">
        <f>+'Monthly Data-Hours &amp; Miles'!$M$52</f>
        <v>648</v>
      </c>
    </row>
    <row r="67" spans="1:12">
      <c r="A67" t="str">
        <f>+'Monthly Data-Hours &amp; Miles'!$N$24</f>
        <v>September</v>
      </c>
      <c r="C67" s="19">
        <f>+'Monthly Data-Hours &amp; Miles'!$N$49</f>
        <v>7703</v>
      </c>
      <c r="D67" s="19">
        <f t="shared" si="12"/>
        <v>6788</v>
      </c>
      <c r="E67" s="19">
        <f>+'Monthly Data-Hours &amp; Miles'!$N$43</f>
        <v>522</v>
      </c>
      <c r="F67" s="19">
        <f>+'Monthly Data-Hours &amp; Miles'!$N$44</f>
        <v>393</v>
      </c>
      <c r="H67" s="19">
        <f t="shared" si="13"/>
        <v>6788</v>
      </c>
      <c r="I67" s="19">
        <f t="shared" si="14"/>
        <v>6082</v>
      </c>
      <c r="J67" s="19">
        <f>+'Monthly Data-Hours &amp; Miles'!$N$53</f>
        <v>295</v>
      </c>
      <c r="K67" s="19">
        <f>+'Monthly Data-Hours &amp; Miles'!$N$52</f>
        <v>411</v>
      </c>
    </row>
    <row r="68" spans="1:12">
      <c r="C68" s="18"/>
      <c r="H68" s="18"/>
    </row>
    <row r="69" spans="1:12" ht="13.5" thickBot="1">
      <c r="B69" t="s">
        <v>113</v>
      </c>
      <c r="C69" s="21">
        <f>SUM(C56:C67)</f>
        <v>82179</v>
      </c>
      <c r="D69" s="21">
        <f>SUM(D56:D67)</f>
        <v>71908</v>
      </c>
      <c r="E69" s="21">
        <f>SUM(E56:E67)</f>
        <v>6631</v>
      </c>
      <c r="F69" s="21">
        <f>SUM(F56:F67)</f>
        <v>3640</v>
      </c>
      <c r="H69" s="21">
        <f>SUM(H56:H67)</f>
        <v>71908</v>
      </c>
      <c r="I69" s="21">
        <f>SUM(I56:I67)</f>
        <v>63125</v>
      </c>
      <c r="J69" s="21">
        <f>SUM(J56:J67)</f>
        <v>2427</v>
      </c>
      <c r="K69" s="21">
        <f>SUM(K56:K67)</f>
        <v>6356</v>
      </c>
    </row>
    <row r="70" spans="1:12" ht="13.5" thickTop="1"/>
    <row r="71" spans="1:12" ht="13.5" thickBot="1">
      <c r="B71" t="s">
        <v>106</v>
      </c>
      <c r="C71" s="14">
        <f>SUM(D71:F71)</f>
        <v>1</v>
      </c>
      <c r="D71" s="14">
        <f>+D69/C69</f>
        <v>0.87501673176845662</v>
      </c>
      <c r="E71" s="14">
        <f>+E69/C69</f>
        <v>8.0689713917180786E-2</v>
      </c>
      <c r="F71" s="14">
        <f>+F69/C69</f>
        <v>4.4293554314362549E-2</v>
      </c>
      <c r="H71" s="14">
        <f>SUM(I71:K71)</f>
        <v>1</v>
      </c>
      <c r="I71" s="14">
        <f>+I69/H69</f>
        <v>0.87785781832341325</v>
      </c>
      <c r="J71" s="14">
        <f>+J69/H69</f>
        <v>3.3751460199143352E-2</v>
      </c>
      <c r="K71" s="14">
        <f>+K69/H69</f>
        <v>8.8390721477443396E-2</v>
      </c>
    </row>
    <row r="72" spans="1:12" ht="13.5" thickTop="1">
      <c r="K72" s="97"/>
    </row>
    <row r="73" spans="1:12">
      <c r="K73" s="83"/>
    </row>
    <row r="74" spans="1:12">
      <c r="A74" s="83" t="s">
        <v>348</v>
      </c>
      <c r="I74" s="94">
        <f>+I69/(I69+J69)</f>
        <v>0.96297595801806202</v>
      </c>
      <c r="J74" s="95">
        <f>1-I74</f>
        <v>3.7024041981937983E-2</v>
      </c>
      <c r="K74" s="58">
        <v>0</v>
      </c>
      <c r="L74" s="83" t="s">
        <v>353</v>
      </c>
    </row>
    <row r="78" spans="1:12">
      <c r="A78" s="83" t="s">
        <v>375</v>
      </c>
      <c r="I78" s="107">
        <f>'Monthly Data-Hours &amp; Miles'!$O$78</f>
        <v>1322</v>
      </c>
    </row>
    <row r="79" spans="1:12">
      <c r="B79" s="83" t="s">
        <v>377</v>
      </c>
      <c r="I79" s="94">
        <f>I78/(I78+C23)</f>
        <v>0.14842025610914392</v>
      </c>
    </row>
    <row r="80" spans="1:12">
      <c r="B80" s="83" t="s">
        <v>378</v>
      </c>
      <c r="I80" s="94">
        <f>I78/(I78+C45)</f>
        <v>0.10691960729285539</v>
      </c>
    </row>
    <row r="81" spans="1:9">
      <c r="I81" s="107"/>
    </row>
    <row r="82" spans="1:9">
      <c r="I82" s="107"/>
    </row>
    <row r="83" spans="1:9">
      <c r="A83" s="83" t="s">
        <v>376</v>
      </c>
      <c r="I83" s="107">
        <f>'Monthly Data-Hours &amp; Miles'!$O$81</f>
        <v>31384</v>
      </c>
    </row>
    <row r="84" spans="1:9">
      <c r="B84" s="83" t="s">
        <v>379</v>
      </c>
      <c r="I84" s="94">
        <f>I83/(I83+C69)</f>
        <v>0.2763576164771977</v>
      </c>
    </row>
    <row r="86" spans="1:9">
      <c r="A86" s="83" t="s">
        <v>380</v>
      </c>
      <c r="I86" s="94">
        <f>'Results of Operations Staff '!C14/('Results of Operations Staff '!C21-'Results of Operations Staff '!C15)</f>
        <v>8.6488098335324948E-2</v>
      </c>
    </row>
  </sheetData>
  <phoneticPr fontId="0" type="noConversion"/>
  <pageMargins left="0.2" right="0.3" top="0.54" bottom="0.53" header="0.5" footer="0.5"/>
  <pageSetup scale="66" fitToWidth="0" orientation="portrait" horizontalDpi="4294967293" verticalDpi="4294967293" r:id="rId1"/>
  <headerFooter alignWithMargins="0"/>
  <rowBreaks count="1" manualBreakCount="1">
    <brk id="51" max="16383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E4" sqref="E4"/>
    </sheetView>
  </sheetViews>
  <sheetFormatPr defaultRowHeight="12.75"/>
  <cols>
    <col min="1" max="1" width="9.42578125" bestFit="1" customWidth="1"/>
    <col min="11" max="11" width="10.28515625" bestFit="1" customWidth="1"/>
  </cols>
  <sheetData>
    <row r="1" spans="1:10">
      <c r="A1" t="s">
        <v>0</v>
      </c>
    </row>
    <row r="3" spans="1:10">
      <c r="A3" t="s">
        <v>312</v>
      </c>
      <c r="D3" s="643" t="s">
        <v>1342</v>
      </c>
      <c r="E3" s="643" t="s">
        <v>689</v>
      </c>
    </row>
    <row r="5" spans="1:10">
      <c r="A5" s="673">
        <v>44834</v>
      </c>
    </row>
    <row r="8" spans="1:10">
      <c r="A8" t="s">
        <v>313</v>
      </c>
      <c r="C8" s="2" t="s">
        <v>323</v>
      </c>
      <c r="D8" s="2" t="s">
        <v>294</v>
      </c>
      <c r="E8" s="2" t="s">
        <v>295</v>
      </c>
      <c r="F8" s="2" t="s">
        <v>2</v>
      </c>
      <c r="G8" s="2" t="s">
        <v>106</v>
      </c>
      <c r="I8" s="89" t="s">
        <v>336</v>
      </c>
      <c r="J8" s="2" t="s">
        <v>106</v>
      </c>
    </row>
    <row r="10" spans="1:10">
      <c r="A10" t="s">
        <v>116</v>
      </c>
      <c r="C10" s="86">
        <f>+'Monthly Data-Container Count'!C$14</f>
        <v>0</v>
      </c>
      <c r="D10" s="86">
        <f>+'Monthly Data-Container Count'!D$14</f>
        <v>591</v>
      </c>
      <c r="E10" s="86">
        <f>+'Monthly Data-Container Count'!E$14</f>
        <v>63</v>
      </c>
      <c r="F10" s="22">
        <f>SUM(C10:E10)</f>
        <v>654</v>
      </c>
      <c r="G10" s="10">
        <f>(+F10/F16)</f>
        <v>0.13759730696402273</v>
      </c>
      <c r="I10" s="22">
        <f>'Monthly Data-Container Count'!$H$14</f>
        <v>0</v>
      </c>
      <c r="J10" s="10">
        <f>(+I10/I16)</f>
        <v>0</v>
      </c>
    </row>
    <row r="11" spans="1:10">
      <c r="C11" s="65"/>
      <c r="D11" s="65"/>
      <c r="E11" s="65"/>
      <c r="G11" s="10"/>
      <c r="J11" s="10"/>
    </row>
    <row r="12" spans="1:10">
      <c r="A12" t="s">
        <v>117</v>
      </c>
      <c r="C12" s="86">
        <f>+'Monthly Data-Container Count'!C$15</f>
        <v>0</v>
      </c>
      <c r="D12" s="86">
        <f>+'Monthly Data-Container Count'!D$15</f>
        <v>212</v>
      </c>
      <c r="E12" s="86">
        <f>+'Monthly Data-Container Count'!E$15</f>
        <v>32</v>
      </c>
      <c r="F12" s="22">
        <f>SUM(C12:E12)</f>
        <v>244</v>
      </c>
      <c r="G12" s="10">
        <f>+F12/F16</f>
        <v>5.1335998316852517E-2</v>
      </c>
      <c r="I12" s="22">
        <f>'Monthly Data-Container Count'!$H$15</f>
        <v>0</v>
      </c>
      <c r="J12" s="10">
        <f>+I12/I16</f>
        <v>0</v>
      </c>
    </row>
    <row r="13" spans="1:10">
      <c r="G13" s="10"/>
      <c r="J13" s="10"/>
    </row>
    <row r="14" spans="1:10">
      <c r="A14" t="s">
        <v>104</v>
      </c>
      <c r="C14" s="23">
        <f>+C16-C10-C12</f>
        <v>764</v>
      </c>
      <c r="D14" s="23">
        <f>+D16-D10-D12</f>
        <v>1454</v>
      </c>
      <c r="E14" s="23">
        <f>+E16-E10-E12</f>
        <v>1637</v>
      </c>
      <c r="F14" s="23">
        <f>SUM(C14:E14)</f>
        <v>3855</v>
      </c>
      <c r="G14" s="42">
        <f>+F14/F16</f>
        <v>0.81106669471912474</v>
      </c>
      <c r="I14" s="23">
        <f>+I16-I10-I12</f>
        <v>354</v>
      </c>
      <c r="J14" s="42">
        <f>+I14/I16</f>
        <v>1</v>
      </c>
    </row>
    <row r="15" spans="1:10">
      <c r="G15" s="11"/>
    </row>
    <row r="16" spans="1:10" ht="13.5" thickBot="1">
      <c r="A16" t="s">
        <v>118</v>
      </c>
      <c r="C16" s="24">
        <f>+'Monthly Data-Container Count'!C$20</f>
        <v>764</v>
      </c>
      <c r="D16" s="24">
        <f>+'Monthly Data-Container Count'!D$20</f>
        <v>2257</v>
      </c>
      <c r="E16" s="24">
        <f>+'Monthly Data-Container Count'!E$20</f>
        <v>1732</v>
      </c>
      <c r="F16" s="24">
        <f>SUM(C16:E16)</f>
        <v>4753</v>
      </c>
      <c r="G16" s="14">
        <f>SUM(G10:G14)</f>
        <v>1</v>
      </c>
      <c r="I16" s="24">
        <f>'Monthly Data-Container Count'!$H$20</f>
        <v>354</v>
      </c>
      <c r="J16" s="14">
        <f>SUM(J10:J14)</f>
        <v>1</v>
      </c>
    </row>
    <row r="17" spans="1:11" ht="13.5" thickTop="1"/>
    <row r="21" spans="1:11">
      <c r="A21" t="s">
        <v>314</v>
      </c>
      <c r="C21" s="2" t="s">
        <v>119</v>
      </c>
      <c r="D21" s="2" t="s">
        <v>121</v>
      </c>
      <c r="E21" s="2" t="s">
        <v>120</v>
      </c>
      <c r="F21" s="2" t="s">
        <v>122</v>
      </c>
      <c r="G21" s="2" t="s">
        <v>123</v>
      </c>
      <c r="H21" s="2" t="s">
        <v>124</v>
      </c>
      <c r="I21" s="2" t="s">
        <v>125</v>
      </c>
      <c r="J21" s="2" t="s">
        <v>2</v>
      </c>
      <c r="K21" s="2" t="s">
        <v>106</v>
      </c>
    </row>
    <row r="23" spans="1:11">
      <c r="A23" t="s">
        <v>116</v>
      </c>
      <c r="C23" s="86">
        <f>+'Monthly Data-Container Count'!M$14</f>
        <v>33</v>
      </c>
      <c r="D23" s="86">
        <f>+'Monthly Data-Container Count'!N$14</f>
        <v>0</v>
      </c>
      <c r="E23" s="86">
        <f>+'Monthly Data-Container Count'!O$14</f>
        <v>21</v>
      </c>
      <c r="F23" s="86">
        <f>+'Monthly Data-Container Count'!P$14</f>
        <v>0</v>
      </c>
      <c r="G23" s="86">
        <f>+'Monthly Data-Container Count'!Q$14</f>
        <v>9</v>
      </c>
      <c r="H23" s="86">
        <f>+'Monthly Data-Container Count'!R$14</f>
        <v>4</v>
      </c>
      <c r="I23" s="86">
        <f>+'Monthly Data-Container Count'!S$14</f>
        <v>0</v>
      </c>
      <c r="J23" s="22">
        <f>SUM(C23:I23)</f>
        <v>67</v>
      </c>
      <c r="K23" s="10">
        <f>(+J23/J29)</f>
        <v>5.6827820186598814E-2</v>
      </c>
    </row>
    <row r="24" spans="1:11">
      <c r="C24" s="65"/>
      <c r="D24" s="65"/>
      <c r="E24" s="65"/>
      <c r="F24" s="65"/>
      <c r="G24" s="65"/>
      <c r="H24" s="65"/>
      <c r="I24" s="65"/>
      <c r="K24" s="10"/>
    </row>
    <row r="25" spans="1:11">
      <c r="A25" t="s">
        <v>117</v>
      </c>
      <c r="C25" s="86">
        <f>+'Monthly Data-Container Count'!M$15</f>
        <v>13</v>
      </c>
      <c r="D25" s="86">
        <f>+'Monthly Data-Container Count'!N$15</f>
        <v>0</v>
      </c>
      <c r="E25" s="86">
        <f>+'Monthly Data-Container Count'!O$15</f>
        <v>17</v>
      </c>
      <c r="F25" s="86">
        <f>+'Monthly Data-Container Count'!P$15</f>
        <v>0</v>
      </c>
      <c r="G25" s="86">
        <f>+'Monthly Data-Container Count'!Q$15</f>
        <v>2</v>
      </c>
      <c r="H25" s="86">
        <f>+'Monthly Data-Container Count'!R$15</f>
        <v>0</v>
      </c>
      <c r="I25" s="86">
        <f>+'Monthly Data-Container Count'!S$15</f>
        <v>0</v>
      </c>
      <c r="J25" s="22">
        <f>SUM(C25:I25)</f>
        <v>32</v>
      </c>
      <c r="K25" s="10">
        <f>+J25/J29</f>
        <v>2.7141645462256149E-2</v>
      </c>
    </row>
    <row r="26" spans="1:11">
      <c r="K26" s="10"/>
    </row>
    <row r="27" spans="1:11">
      <c r="A27" t="s">
        <v>104</v>
      </c>
      <c r="C27" s="23">
        <f>+C29-C23-C25</f>
        <v>437</v>
      </c>
      <c r="D27" s="23">
        <f t="shared" ref="D27:I27" si="0">+D29-D23-D25</f>
        <v>73</v>
      </c>
      <c r="E27" s="23">
        <f t="shared" si="0"/>
        <v>391</v>
      </c>
      <c r="F27" s="23">
        <f t="shared" si="0"/>
        <v>7</v>
      </c>
      <c r="G27" s="23">
        <f t="shared" si="0"/>
        <v>69</v>
      </c>
      <c r="H27" s="23">
        <f t="shared" si="0"/>
        <v>103</v>
      </c>
      <c r="I27" s="23">
        <f t="shared" si="0"/>
        <v>0</v>
      </c>
      <c r="J27" s="23">
        <f>SUM(C27:I27)</f>
        <v>1080</v>
      </c>
      <c r="K27" s="42">
        <f>+J27/J29</f>
        <v>0.91603053435114501</v>
      </c>
    </row>
    <row r="28" spans="1:11">
      <c r="K28" s="11"/>
    </row>
    <row r="29" spans="1:11" ht="13.5" thickBot="1">
      <c r="A29" t="s">
        <v>118</v>
      </c>
      <c r="C29" s="24">
        <f>+'Monthly Data-Container Count'!M$20</f>
        <v>483</v>
      </c>
      <c r="D29" s="24">
        <f>+'Monthly Data-Container Count'!N$20</f>
        <v>73</v>
      </c>
      <c r="E29" s="24">
        <f>+'Monthly Data-Container Count'!O$20</f>
        <v>429</v>
      </c>
      <c r="F29" s="24">
        <f>+'Monthly Data-Container Count'!P$20</f>
        <v>7</v>
      </c>
      <c r="G29" s="24">
        <f>+'Monthly Data-Container Count'!Q$20</f>
        <v>80</v>
      </c>
      <c r="H29" s="24">
        <f>+'Monthly Data-Container Count'!R$20</f>
        <v>107</v>
      </c>
      <c r="I29" s="24">
        <f>+'Monthly Data-Container Count'!S$20</f>
        <v>0</v>
      </c>
      <c r="J29" s="24">
        <f>SUM(C29:I29)</f>
        <v>1179</v>
      </c>
      <c r="K29" s="14">
        <f>SUM(K23:K27)</f>
        <v>1</v>
      </c>
    </row>
    <row r="30" spans="1:11" ht="13.5" thickTop="1"/>
  </sheetData>
  <phoneticPr fontId="0" type="noConversion"/>
  <pageMargins left="0.2" right="0.3" top="0.57999999999999996" bottom="1" header="0.5" footer="0.5"/>
  <pageSetup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Y389"/>
  <sheetViews>
    <sheetView zoomScale="75" workbookViewId="0">
      <pane xSplit="2" ySplit="10" topLeftCell="C335" activePane="bottomRight" state="frozen"/>
      <selection pane="topRight" activeCell="C1" sqref="C1"/>
      <selection pane="bottomLeft" activeCell="A11" sqref="A11"/>
      <selection pane="bottomRight" activeCell="N4" sqref="N4"/>
    </sheetView>
  </sheetViews>
  <sheetFormatPr defaultColWidth="14.7109375" defaultRowHeight="15.75"/>
  <cols>
    <col min="1" max="1" width="1.5703125" style="325" customWidth="1"/>
    <col min="2" max="2" width="57.42578125" style="325" customWidth="1"/>
    <col min="3" max="3" width="10" style="325" customWidth="1"/>
    <col min="4" max="4" width="5.5703125" style="325" customWidth="1"/>
    <col min="5" max="5" width="10.140625" style="325" customWidth="1"/>
    <col min="6" max="6" width="3.42578125" style="325" customWidth="1"/>
    <col min="7" max="7" width="9" style="325" customWidth="1"/>
    <col min="8" max="8" width="6.140625" style="325" customWidth="1"/>
    <col min="9" max="9" width="9.7109375" style="325" customWidth="1"/>
    <col min="10" max="10" width="8.5703125" style="325" customWidth="1"/>
    <col min="11" max="11" width="5" style="325" customWidth="1"/>
    <col min="12" max="12" width="15.7109375" style="325" customWidth="1"/>
    <col min="13" max="13" width="13.28515625" style="325" customWidth="1"/>
    <col min="14" max="14" width="16.28515625" style="325" customWidth="1"/>
    <col min="15" max="15" width="11.85546875" style="325" customWidth="1"/>
    <col min="16" max="16" width="15.5703125" style="325" customWidth="1"/>
    <col min="17" max="17" width="13.28515625" style="325" customWidth="1"/>
    <col min="18" max="18" width="15.7109375" style="325" customWidth="1"/>
    <col min="19" max="19" width="10.5703125" style="325" customWidth="1"/>
    <col min="20" max="20" width="14.5703125" style="325" customWidth="1"/>
    <col min="21" max="21" width="3.42578125" style="325" customWidth="1"/>
    <col min="22" max="22" width="16.42578125" style="325" customWidth="1"/>
    <col min="23" max="23" width="15.140625" style="325" customWidth="1"/>
    <col min="24" max="24" width="10.85546875" style="325" customWidth="1"/>
    <col min="25" max="25" width="16" style="325" customWidth="1"/>
    <col min="26" max="26" width="14.5703125" style="325" customWidth="1"/>
    <col min="27" max="27" width="15" style="325" customWidth="1"/>
    <col min="28" max="28" width="21.28515625" style="325" customWidth="1"/>
    <col min="29" max="34" width="14.7109375" style="325"/>
    <col min="35" max="36" width="15.7109375" style="325" bestFit="1" customWidth="1"/>
    <col min="37" max="37" width="15.5703125" style="325" bestFit="1" customWidth="1"/>
    <col min="38" max="38" width="14.85546875" style="325" bestFit="1" customWidth="1"/>
    <col min="39" max="43" width="14.85546875" style="325" customWidth="1"/>
    <col min="44" max="47" width="14.7109375" style="325"/>
    <col min="48" max="48" width="12.85546875" style="325" customWidth="1"/>
    <col min="49" max="49" width="14.7109375" style="325" customWidth="1"/>
    <col min="50" max="50" width="13.140625" style="325" customWidth="1"/>
    <col min="51" max="16384" width="14.7109375" style="325"/>
  </cols>
  <sheetData>
    <row r="1" spans="1:50">
      <c r="A1" s="330" t="s">
        <v>1115</v>
      </c>
      <c r="B1" s="374" t="s">
        <v>1114</v>
      </c>
    </row>
    <row r="2" spans="1:50">
      <c r="B2" s="330" t="s">
        <v>1113</v>
      </c>
      <c r="C2" s="658" t="s">
        <v>1342</v>
      </c>
      <c r="D2" s="658" t="s">
        <v>689</v>
      </c>
      <c r="N2" s="325">
        <v>3</v>
      </c>
      <c r="O2" s="330" t="s">
        <v>1112</v>
      </c>
    </row>
    <row r="3" spans="1:50">
      <c r="B3" s="373" t="s">
        <v>1471</v>
      </c>
      <c r="N3" s="325">
        <v>9</v>
      </c>
      <c r="O3" s="330" t="s">
        <v>1111</v>
      </c>
      <c r="AD3" s="330" t="s">
        <v>1066</v>
      </c>
      <c r="AE3" s="330" t="s">
        <v>1110</v>
      </c>
    </row>
    <row r="4" spans="1:50">
      <c r="N4" s="325">
        <v>121</v>
      </c>
      <c r="O4" s="330" t="s">
        <v>1109</v>
      </c>
      <c r="T4" s="370"/>
      <c r="AA4" s="370"/>
      <c r="AB4" s="370"/>
      <c r="AD4" s="330" t="s">
        <v>1108</v>
      </c>
      <c r="AE4" s="330" t="s">
        <v>1107</v>
      </c>
    </row>
    <row r="5" spans="1:50">
      <c r="N5" s="325">
        <v>122</v>
      </c>
      <c r="O5" s="330" t="s">
        <v>1106</v>
      </c>
      <c r="T5" s="371"/>
      <c r="AA5" s="371"/>
      <c r="AB5" s="371"/>
      <c r="AD5" s="330" t="s">
        <v>689</v>
      </c>
      <c r="AE5" s="330" t="s">
        <v>1105</v>
      </c>
    </row>
    <row r="6" spans="1:50">
      <c r="B6" s="372" t="s">
        <v>1104</v>
      </c>
      <c r="C6" s="372"/>
      <c r="T6" s="371"/>
      <c r="AA6" s="370"/>
      <c r="AB6" s="370"/>
      <c r="AD6" s="330" t="s">
        <v>1063</v>
      </c>
      <c r="AE6" s="330" t="s">
        <v>1103</v>
      </c>
    </row>
    <row r="7" spans="1:50">
      <c r="B7" s="413" t="s">
        <v>1144</v>
      </c>
      <c r="T7" s="351" t="s">
        <v>2</v>
      </c>
      <c r="V7" s="369" t="s">
        <v>1102</v>
      </c>
      <c r="W7" s="351" t="s">
        <v>1097</v>
      </c>
      <c r="Y7" s="368" t="s">
        <v>1097</v>
      </c>
      <c r="Z7" s="368" t="s">
        <v>1097</v>
      </c>
      <c r="AA7" s="370"/>
      <c r="AB7" s="370"/>
      <c r="AD7" s="330" t="s">
        <v>1062</v>
      </c>
      <c r="AE7" s="330" t="s">
        <v>1101</v>
      </c>
      <c r="AR7" s="351" t="s">
        <v>1327</v>
      </c>
      <c r="AS7" s="351" t="s">
        <v>1324</v>
      </c>
      <c r="AT7" s="351" t="s">
        <v>1330</v>
      </c>
      <c r="AU7" s="351" t="s">
        <v>1324</v>
      </c>
      <c r="AV7" s="351" t="s">
        <v>1330</v>
      </c>
      <c r="AW7" s="351" t="s">
        <v>1324</v>
      </c>
      <c r="AX7" s="351" t="s">
        <v>1330</v>
      </c>
    </row>
    <row r="8" spans="1:50">
      <c r="A8" s="330"/>
      <c r="B8" s="420" t="s">
        <v>1152</v>
      </c>
      <c r="C8" s="351" t="s">
        <v>1100</v>
      </c>
      <c r="E8" s="351" t="s">
        <v>1099</v>
      </c>
      <c r="I8" s="351" t="s">
        <v>1082</v>
      </c>
      <c r="J8" s="330" t="s">
        <v>1098</v>
      </c>
      <c r="Q8" s="368" t="s">
        <v>1072</v>
      </c>
      <c r="R8" s="368" t="s">
        <v>2</v>
      </c>
      <c r="T8" s="351" t="s">
        <v>1097</v>
      </c>
      <c r="V8" s="369" t="s">
        <v>1096</v>
      </c>
      <c r="W8" s="351" t="s">
        <v>1096</v>
      </c>
      <c r="X8" s="351" t="s">
        <v>1095</v>
      </c>
      <c r="Y8" s="368" t="s">
        <v>1094</v>
      </c>
      <c r="Z8" s="368" t="s">
        <v>1094</v>
      </c>
      <c r="AH8" s="351" t="s">
        <v>1326</v>
      </c>
      <c r="AI8" s="351" t="s">
        <v>1093</v>
      </c>
      <c r="AJ8" s="351"/>
      <c r="AK8" s="351" t="s">
        <v>1092</v>
      </c>
      <c r="AL8" s="351" t="s">
        <v>1091</v>
      </c>
      <c r="AM8" s="351" t="s">
        <v>1326</v>
      </c>
      <c r="AN8" s="351" t="s">
        <v>1093</v>
      </c>
      <c r="AO8" s="351"/>
      <c r="AP8" s="351" t="s">
        <v>1092</v>
      </c>
      <c r="AQ8" s="351" t="s">
        <v>1091</v>
      </c>
      <c r="AR8" s="351" t="s">
        <v>1324</v>
      </c>
      <c r="AS8" s="351" t="s">
        <v>1328</v>
      </c>
      <c r="AT8" s="351" t="s">
        <v>1331</v>
      </c>
      <c r="AU8" s="351" t="s">
        <v>1328</v>
      </c>
      <c r="AV8" s="351" t="s">
        <v>1331</v>
      </c>
      <c r="AW8" s="351" t="s">
        <v>1328</v>
      </c>
      <c r="AX8" s="351" t="s">
        <v>1331</v>
      </c>
    </row>
    <row r="9" spans="1:50">
      <c r="C9" s="330" t="s">
        <v>1090</v>
      </c>
      <c r="E9" s="351" t="s">
        <v>1089</v>
      </c>
      <c r="G9" s="330" t="s">
        <v>1088</v>
      </c>
      <c r="H9" s="330" t="s">
        <v>1087</v>
      </c>
      <c r="I9" s="351" t="s">
        <v>1086</v>
      </c>
      <c r="J9" s="330" t="s">
        <v>1072</v>
      </c>
      <c r="L9" s="351" t="s">
        <v>1085</v>
      </c>
      <c r="M9" s="351" t="s">
        <v>1085</v>
      </c>
      <c r="N9" s="351" t="s">
        <v>1084</v>
      </c>
      <c r="O9" s="351" t="s">
        <v>1083</v>
      </c>
      <c r="P9" s="368" t="s">
        <v>1080</v>
      </c>
      <c r="Q9" s="368" t="s">
        <v>1082</v>
      </c>
      <c r="R9" s="368" t="s">
        <v>1081</v>
      </c>
      <c r="S9" s="351" t="s">
        <v>106</v>
      </c>
      <c r="T9" s="330" t="s">
        <v>1080</v>
      </c>
      <c r="V9" s="369" t="s">
        <v>385</v>
      </c>
      <c r="W9" s="351" t="s">
        <v>385</v>
      </c>
      <c r="X9" s="351" t="s">
        <v>1069</v>
      </c>
      <c r="Y9" s="368" t="s">
        <v>1068</v>
      </c>
      <c r="Z9" s="368" t="s">
        <v>1068</v>
      </c>
      <c r="AA9" s="351" t="s">
        <v>644</v>
      </c>
      <c r="AB9" s="409" t="s">
        <v>1141</v>
      </c>
      <c r="AH9" s="351" t="s">
        <v>584</v>
      </c>
      <c r="AI9" s="351" t="s">
        <v>642</v>
      </c>
      <c r="AJ9" s="351" t="s">
        <v>573</v>
      </c>
      <c r="AK9" s="351" t="s">
        <v>1079</v>
      </c>
      <c r="AL9" s="351" t="s">
        <v>1078</v>
      </c>
      <c r="AM9" s="351" t="s">
        <v>584</v>
      </c>
      <c r="AN9" s="351" t="s">
        <v>642</v>
      </c>
      <c r="AO9" s="351" t="s">
        <v>573</v>
      </c>
      <c r="AP9" s="351" t="s">
        <v>1079</v>
      </c>
      <c r="AQ9" s="351" t="s">
        <v>1078</v>
      </c>
      <c r="AR9" s="351" t="s">
        <v>1325</v>
      </c>
      <c r="AS9" s="351" t="s">
        <v>1329</v>
      </c>
      <c r="AT9" s="360">
        <v>44196</v>
      </c>
      <c r="AU9" s="351" t="s">
        <v>1329</v>
      </c>
      <c r="AV9" s="360">
        <v>44561</v>
      </c>
      <c r="AW9" s="351" t="s">
        <v>1329</v>
      </c>
      <c r="AX9" s="360">
        <v>44926</v>
      </c>
    </row>
    <row r="10" spans="1:50">
      <c r="A10" s="351"/>
      <c r="B10" s="367" t="s">
        <v>1077</v>
      </c>
      <c r="C10" s="362" t="s">
        <v>1076</v>
      </c>
      <c r="D10" s="362" t="s">
        <v>1075</v>
      </c>
      <c r="E10" s="362" t="s">
        <v>106</v>
      </c>
      <c r="F10" s="353"/>
      <c r="G10" s="362" t="s">
        <v>133</v>
      </c>
      <c r="H10" s="362" t="s">
        <v>133</v>
      </c>
      <c r="I10" s="362" t="s">
        <v>1068</v>
      </c>
      <c r="J10" s="367" t="s">
        <v>1074</v>
      </c>
      <c r="K10" s="367" t="s">
        <v>1073</v>
      </c>
      <c r="L10" s="362" t="s">
        <v>573</v>
      </c>
      <c r="M10" s="362" t="s">
        <v>1072</v>
      </c>
      <c r="N10" s="362" t="s">
        <v>573</v>
      </c>
      <c r="O10" s="362" t="s">
        <v>1068</v>
      </c>
      <c r="P10" s="366" t="s">
        <v>1068</v>
      </c>
      <c r="Q10" s="366" t="s">
        <v>1071</v>
      </c>
      <c r="R10" s="366" t="s">
        <v>1070</v>
      </c>
      <c r="S10" s="362" t="s">
        <v>1069</v>
      </c>
      <c r="T10" s="362" t="s">
        <v>1068</v>
      </c>
      <c r="U10" s="353"/>
      <c r="V10" s="365">
        <v>44470</v>
      </c>
      <c r="W10" s="364">
        <v>44470</v>
      </c>
      <c r="X10" s="362" t="s">
        <v>106</v>
      </c>
      <c r="Y10" s="363">
        <v>44469</v>
      </c>
      <c r="Z10" s="363">
        <v>44834</v>
      </c>
      <c r="AA10" s="362" t="s">
        <v>1067</v>
      </c>
      <c r="AB10" s="410" t="s">
        <v>1142</v>
      </c>
      <c r="AC10" s="362" t="s">
        <v>1066</v>
      </c>
      <c r="AD10" s="362" t="s">
        <v>1065</v>
      </c>
      <c r="AE10" s="362" t="s">
        <v>1064</v>
      </c>
      <c r="AF10" s="362" t="s">
        <v>1063</v>
      </c>
      <c r="AG10" s="351" t="s">
        <v>1062</v>
      </c>
      <c r="AI10" s="353"/>
      <c r="AJ10" s="353"/>
      <c r="AK10" s="353"/>
      <c r="AL10" s="353"/>
      <c r="AM10" s="337"/>
      <c r="AN10" s="337"/>
      <c r="AO10" s="337"/>
      <c r="AP10" s="337"/>
      <c r="AQ10" s="337"/>
      <c r="AS10" s="351">
        <v>2020</v>
      </c>
      <c r="AU10" s="351">
        <v>2021</v>
      </c>
      <c r="AW10" s="351">
        <v>2022</v>
      </c>
    </row>
    <row r="11" spans="1:50"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V11" s="361"/>
      <c r="W11" s="361"/>
      <c r="X11" s="361"/>
      <c r="Y11" s="361"/>
      <c r="Z11" s="361"/>
      <c r="AA11" s="361"/>
      <c r="AB11" s="361"/>
    </row>
    <row r="12" spans="1:50"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1"/>
      <c r="S12" s="361"/>
      <c r="T12" s="361"/>
      <c r="V12" s="361"/>
      <c r="W12" s="361"/>
      <c r="X12" s="361"/>
      <c r="Y12" s="361"/>
      <c r="Z12" s="361"/>
      <c r="AA12" s="361"/>
      <c r="AB12" s="361"/>
    </row>
    <row r="13" spans="1:50">
      <c r="B13" s="421" t="s">
        <v>1060</v>
      </c>
      <c r="C13" s="333">
        <v>105</v>
      </c>
      <c r="D13" s="333">
        <v>3</v>
      </c>
      <c r="E13" s="342">
        <v>0</v>
      </c>
      <c r="G13" s="351" t="s">
        <v>888</v>
      </c>
      <c r="H13" s="333">
        <v>7</v>
      </c>
      <c r="I13" s="325">
        <f t="shared" ref="I13:I14" si="0">C13+H13</f>
        <v>112</v>
      </c>
      <c r="L13" s="405">
        <v>23945</v>
      </c>
      <c r="N13" s="328">
        <f t="shared" ref="N13:N14" si="1">L13-L13*E13</f>
        <v>23945</v>
      </c>
      <c r="O13" s="328">
        <f t="shared" ref="O13:O14" si="2">N13/H13/12</f>
        <v>285.0595238095238</v>
      </c>
      <c r="P13" s="328">
        <f t="shared" ref="P13:P14" si="3">IF(M13&gt;0,0,IF(OR(AC13&gt;AD13,AE13&lt;AF13),0,IF(AND(AE13&gt;=AF13,AE13&lt;=AD13),O13*((AE13-AF13)*12),IF(AND(AF13&lt;=AC13,AD13&gt;=AC13),((AD13-AC13)*12)*O13,IF(AE13&gt;AD13,12*O13,0)))))</f>
        <v>0</v>
      </c>
      <c r="Q13" s="325">
        <f t="shared" ref="Q13:Q14" si="4">IF(M13=0,0,IF(AND(AG13&gt;=AF13,AG13&lt;=AE13),((AG13-AF13)*12)*O13,0))</f>
        <v>0</v>
      </c>
      <c r="R13" s="328">
        <f t="shared" ref="R13:R14" si="5">IF(Q13&gt;0,Q13,P13)</f>
        <v>0</v>
      </c>
      <c r="S13" s="417">
        <v>1</v>
      </c>
      <c r="T13" s="328">
        <f t="shared" ref="T13:T14" si="6">S13*R13</f>
        <v>0</v>
      </c>
      <c r="V13" s="328">
        <f t="shared" ref="V13:V14" si="7">IF(AC13&gt;AD13,0,IF(AE13&lt;AF13,N13,IF(AND(AE13&gt;=AF13,AE13&lt;=AD13),(N13-R13),IF(AND(AF13&lt;=AC13,AD13&gt;=AC13),0,IF(AE13&gt;AD13,((AF13-AC13)*12)*O13,0)))))</f>
        <v>23945</v>
      </c>
      <c r="W13" s="328">
        <f t="shared" ref="W13:W14" si="8">V13*S13</f>
        <v>23945</v>
      </c>
      <c r="X13" s="340">
        <v>1</v>
      </c>
      <c r="Y13" s="328">
        <f t="shared" ref="Y13:Y14" si="9">W13*X13</f>
        <v>23945</v>
      </c>
      <c r="Z13" s="328">
        <f t="shared" ref="Z13:Z14" si="10">IF(M13&gt;0,0,Y13+T13*X13)*X13</f>
        <v>23945</v>
      </c>
      <c r="AA13" s="371">
        <f t="shared" ref="AA13:AA14" si="11">IF(M13&gt;0,(L13-Y13)/2,IF(AC13&gt;=AF13,(((L13*S13)*X13)-Z13)/2,((((L13*S13)*X13)-Y13)+(((L13*S13)*X13)-Z13))/2))</f>
        <v>0</v>
      </c>
      <c r="AB13" s="371">
        <v>0</v>
      </c>
      <c r="AC13" s="339">
        <f t="shared" ref="AC13:AC33" si="12">$C13+(($D13-1)/12)</f>
        <v>105.16666666666667</v>
      </c>
      <c r="AD13" s="325">
        <f t="shared" ref="AD13:AD57" si="13">($N$5+1)-($N$2/12)</f>
        <v>122.75</v>
      </c>
      <c r="AE13" s="339">
        <f t="shared" ref="AE13:AE33" si="14">$I13+(($D13-1)/12)</f>
        <v>112.16666666666667</v>
      </c>
      <c r="AF13" s="325">
        <f t="shared" ref="AF13:AF57" si="15">$N$4+($N$3/12)</f>
        <v>121.75</v>
      </c>
      <c r="AG13" s="338">
        <f t="shared" ref="AG13:AG33" si="16">$J13+(($K13-1)/12)</f>
        <v>-8.3333333333333329E-2</v>
      </c>
    </row>
    <row r="14" spans="1:50">
      <c r="B14" s="408" t="s">
        <v>1135</v>
      </c>
      <c r="C14" s="333">
        <v>118</v>
      </c>
      <c r="D14" s="333">
        <v>1</v>
      </c>
      <c r="E14" s="342">
        <v>0</v>
      </c>
      <c r="G14" s="351" t="s">
        <v>888</v>
      </c>
      <c r="H14" s="333">
        <v>3</v>
      </c>
      <c r="I14" s="325">
        <f t="shared" si="0"/>
        <v>121</v>
      </c>
      <c r="L14" s="405">
        <v>11793.870000000003</v>
      </c>
      <c r="N14" s="328">
        <f t="shared" si="1"/>
        <v>11793.870000000003</v>
      </c>
      <c r="O14" s="328">
        <f t="shared" si="2"/>
        <v>327.60750000000007</v>
      </c>
      <c r="P14" s="328">
        <f t="shared" si="3"/>
        <v>0</v>
      </c>
      <c r="Q14" s="325">
        <f t="shared" si="4"/>
        <v>0</v>
      </c>
      <c r="R14" s="328">
        <f t="shared" si="5"/>
        <v>0</v>
      </c>
      <c r="S14" s="417">
        <v>1</v>
      </c>
      <c r="T14" s="688">
        <f t="shared" si="6"/>
        <v>0</v>
      </c>
      <c r="V14" s="328">
        <f t="shared" si="7"/>
        <v>11793.870000000003</v>
      </c>
      <c r="W14" s="328">
        <f t="shared" si="8"/>
        <v>11793.870000000003</v>
      </c>
      <c r="X14" s="340">
        <v>1</v>
      </c>
      <c r="Y14" s="328">
        <f t="shared" si="9"/>
        <v>11793.870000000003</v>
      </c>
      <c r="Z14" s="328">
        <f t="shared" si="10"/>
        <v>11793.870000000003</v>
      </c>
      <c r="AA14" s="371">
        <f t="shared" si="11"/>
        <v>0</v>
      </c>
      <c r="AB14" s="371">
        <v>0</v>
      </c>
      <c r="AC14" s="339">
        <f t="shared" si="12"/>
        <v>118</v>
      </c>
      <c r="AD14" s="325">
        <f t="shared" si="13"/>
        <v>122.75</v>
      </c>
      <c r="AE14" s="339">
        <f t="shared" si="14"/>
        <v>121</v>
      </c>
      <c r="AF14" s="325">
        <f t="shared" si="15"/>
        <v>121.75</v>
      </c>
      <c r="AG14" s="338">
        <f t="shared" si="16"/>
        <v>-8.3333333333333329E-2</v>
      </c>
    </row>
    <row r="15" spans="1:50">
      <c r="B15" s="333" t="s">
        <v>1056</v>
      </c>
      <c r="C15" s="333">
        <v>109</v>
      </c>
      <c r="D15" s="333">
        <v>3</v>
      </c>
      <c r="E15" s="342">
        <v>0</v>
      </c>
      <c r="G15" s="351" t="s">
        <v>888</v>
      </c>
      <c r="H15" s="333">
        <v>7</v>
      </c>
      <c r="I15" s="325">
        <f t="shared" ref="I15:I27" si="17">C15+H15</f>
        <v>116</v>
      </c>
      <c r="L15" s="405">
        <v>5430</v>
      </c>
      <c r="N15" s="328">
        <f t="shared" ref="N15:N18" si="18">L15-L15*E15</f>
        <v>5430</v>
      </c>
      <c r="O15" s="328">
        <f t="shared" ref="O15:O27" si="19">N15/H15/12</f>
        <v>64.642857142857139</v>
      </c>
      <c r="P15" s="328">
        <f t="shared" ref="P15:P28" si="20">IF(M15&gt;0,0,IF(OR(AC15&gt;AD15,AE15&lt;AF15),0,IF(AND(AE15&gt;=AF15,AE15&lt;=AD15),O15*((AE15-AF15)*12),IF(AND(AF15&lt;=AC15,AD15&gt;=AC15),((AD15-AC15)*12)*O15,IF(AE15&gt;AD15,12*O15,0)))))</f>
        <v>0</v>
      </c>
      <c r="Q15" s="325">
        <f t="shared" ref="Q15:Q27" si="21">IF(M15=0,0,IF(AND(AG15&gt;=AF15,AG15&lt;=AE15),((AG15-AF15)*12)*O15,0))</f>
        <v>0</v>
      </c>
      <c r="R15" s="328">
        <f t="shared" ref="R15:R26" si="22">IF(Q15&gt;0,Q15,P15)</f>
        <v>0</v>
      </c>
      <c r="S15" s="340">
        <v>1</v>
      </c>
      <c r="T15" s="328">
        <f t="shared" ref="T15:T18" si="23">S15*R15</f>
        <v>0</v>
      </c>
      <c r="V15" s="328">
        <f t="shared" ref="V15:V18" si="24">IF(AC15&gt;AD15,0,IF(AE15&lt;AF15,N15,IF(AND(AE15&gt;=AF15,AE15&lt;=AD15),(N15-R15),IF(AND(AF15&lt;=AC15,AD15&gt;=AC15),0,IF(AE15&gt;AD15,((AF15-AC15)*12)*O15,0)))))</f>
        <v>5430</v>
      </c>
      <c r="W15" s="328">
        <f t="shared" ref="W15:W27" si="25">V15*S15</f>
        <v>5430</v>
      </c>
      <c r="X15" s="340">
        <v>1</v>
      </c>
      <c r="Y15" s="328">
        <f t="shared" ref="Y15:Y27" si="26">W15*X15</f>
        <v>5430</v>
      </c>
      <c r="Z15" s="328">
        <f t="shared" ref="Z15:Z27" si="27">IF(M15&gt;0,0,Y15+T15*X15)*X15</f>
        <v>5430</v>
      </c>
      <c r="AA15" s="371">
        <f t="shared" ref="AA15:AA18" si="28">IF(M15&gt;0,(L15-Y15)/2,IF(AC15&gt;=AF15,(((L15*S15)*X15)-Z15)/2,((((L15*S15)*X15)-Y15)+(((L15*S15)*X15)-Z15))/2))</f>
        <v>0</v>
      </c>
      <c r="AB15" s="371">
        <v>0</v>
      </c>
      <c r="AC15" s="339">
        <f t="shared" si="12"/>
        <v>109.16666666666667</v>
      </c>
      <c r="AD15" s="325">
        <f t="shared" si="13"/>
        <v>122.75</v>
      </c>
      <c r="AE15" s="339">
        <f t="shared" si="14"/>
        <v>116.16666666666667</v>
      </c>
      <c r="AF15" s="325">
        <f t="shared" si="15"/>
        <v>121.75</v>
      </c>
      <c r="AG15" s="338">
        <f t="shared" si="16"/>
        <v>-8.3333333333333329E-2</v>
      </c>
    </row>
    <row r="16" spans="1:50">
      <c r="B16" s="408" t="s">
        <v>1139</v>
      </c>
      <c r="C16" s="333">
        <v>118</v>
      </c>
      <c r="D16" s="333">
        <v>1</v>
      </c>
      <c r="E16" s="342">
        <v>0</v>
      </c>
      <c r="G16" s="351" t="s">
        <v>888</v>
      </c>
      <c r="H16" s="333">
        <v>3</v>
      </c>
      <c r="I16" s="325">
        <f t="shared" si="17"/>
        <v>121</v>
      </c>
      <c r="L16" s="405">
        <v>1357.3999999999996</v>
      </c>
      <c r="N16" s="328">
        <f t="shared" si="18"/>
        <v>1357.3999999999996</v>
      </c>
      <c r="O16" s="328">
        <f t="shared" si="19"/>
        <v>37.705555555555542</v>
      </c>
      <c r="P16" s="328">
        <f t="shared" si="20"/>
        <v>0</v>
      </c>
      <c r="Q16" s="325">
        <f t="shared" si="21"/>
        <v>0</v>
      </c>
      <c r="R16" s="328">
        <f t="shared" si="22"/>
        <v>0</v>
      </c>
      <c r="S16" s="340">
        <v>1</v>
      </c>
      <c r="T16" s="328">
        <f t="shared" si="23"/>
        <v>0</v>
      </c>
      <c r="V16" s="328">
        <f t="shared" si="24"/>
        <v>1357.3999999999996</v>
      </c>
      <c r="W16" s="328">
        <f t="shared" si="25"/>
        <v>1357.3999999999996</v>
      </c>
      <c r="X16" s="340">
        <v>1</v>
      </c>
      <c r="Y16" s="328">
        <f t="shared" si="26"/>
        <v>1357.3999999999996</v>
      </c>
      <c r="Z16" s="328">
        <f t="shared" si="27"/>
        <v>1357.3999999999996</v>
      </c>
      <c r="AA16" s="371">
        <f t="shared" si="28"/>
        <v>0</v>
      </c>
      <c r="AB16" s="371">
        <f>L16-Z16</f>
        <v>0</v>
      </c>
      <c r="AC16" s="339">
        <f t="shared" si="12"/>
        <v>118</v>
      </c>
      <c r="AD16" s="325">
        <f t="shared" si="13"/>
        <v>122.75</v>
      </c>
      <c r="AE16" s="339">
        <f t="shared" si="14"/>
        <v>121</v>
      </c>
      <c r="AF16" s="325">
        <f t="shared" si="15"/>
        <v>121.75</v>
      </c>
      <c r="AG16" s="338">
        <f t="shared" si="16"/>
        <v>-8.3333333333333329E-2</v>
      </c>
    </row>
    <row r="17" spans="1:51">
      <c r="B17" s="421" t="s">
        <v>1054</v>
      </c>
      <c r="C17" s="333">
        <v>109</v>
      </c>
      <c r="D17" s="333">
        <v>8</v>
      </c>
      <c r="E17" s="342">
        <v>0</v>
      </c>
      <c r="G17" s="351" t="s">
        <v>888</v>
      </c>
      <c r="H17" s="333">
        <v>7</v>
      </c>
      <c r="I17" s="325">
        <f t="shared" si="17"/>
        <v>116</v>
      </c>
      <c r="L17" s="405">
        <v>9722</v>
      </c>
      <c r="N17" s="328">
        <f t="shared" si="18"/>
        <v>9722</v>
      </c>
      <c r="O17" s="328">
        <f t="shared" si="19"/>
        <v>115.73809523809524</v>
      </c>
      <c r="P17" s="328">
        <f t="shared" si="20"/>
        <v>0</v>
      </c>
      <c r="Q17" s="325">
        <f t="shared" si="21"/>
        <v>0</v>
      </c>
      <c r="R17" s="328">
        <f t="shared" si="22"/>
        <v>0</v>
      </c>
      <c r="S17" s="417">
        <v>1</v>
      </c>
      <c r="T17" s="328">
        <f t="shared" si="23"/>
        <v>0</v>
      </c>
      <c r="V17" s="328">
        <f t="shared" si="24"/>
        <v>9722</v>
      </c>
      <c r="W17" s="328">
        <f t="shared" si="25"/>
        <v>9722</v>
      </c>
      <c r="X17" s="340">
        <v>1</v>
      </c>
      <c r="Y17" s="328">
        <f t="shared" si="26"/>
        <v>9722</v>
      </c>
      <c r="Z17" s="328">
        <f t="shared" si="27"/>
        <v>9722</v>
      </c>
      <c r="AA17" s="371">
        <f t="shared" si="28"/>
        <v>0</v>
      </c>
      <c r="AB17" s="371">
        <v>0</v>
      </c>
      <c r="AC17" s="339">
        <f t="shared" si="12"/>
        <v>109.58333333333333</v>
      </c>
      <c r="AD17" s="325">
        <f t="shared" si="13"/>
        <v>122.75</v>
      </c>
      <c r="AE17" s="339">
        <f t="shared" si="14"/>
        <v>116.58333333333333</v>
      </c>
      <c r="AF17" s="325">
        <f t="shared" si="15"/>
        <v>121.75</v>
      </c>
      <c r="AG17" s="338">
        <f t="shared" si="16"/>
        <v>-8.3333333333333329E-2</v>
      </c>
    </row>
    <row r="18" spans="1:51">
      <c r="B18" s="408" t="s">
        <v>1140</v>
      </c>
      <c r="C18" s="333">
        <v>118</v>
      </c>
      <c r="D18" s="333">
        <v>1</v>
      </c>
      <c r="E18" s="342">
        <v>0</v>
      </c>
      <c r="G18" s="351" t="s">
        <v>888</v>
      </c>
      <c r="H18" s="333">
        <v>3</v>
      </c>
      <c r="I18" s="325">
        <f t="shared" si="17"/>
        <v>121</v>
      </c>
      <c r="L18" s="405">
        <v>2430.6000000000004</v>
      </c>
      <c r="N18" s="328">
        <f t="shared" si="18"/>
        <v>2430.6000000000004</v>
      </c>
      <c r="O18" s="328">
        <f t="shared" si="19"/>
        <v>67.51666666666668</v>
      </c>
      <c r="P18" s="328">
        <f t="shared" si="20"/>
        <v>0</v>
      </c>
      <c r="Q18" s="325">
        <f t="shared" si="21"/>
        <v>0</v>
      </c>
      <c r="R18" s="328">
        <f t="shared" si="22"/>
        <v>0</v>
      </c>
      <c r="S18" s="417">
        <v>1</v>
      </c>
      <c r="T18" s="689">
        <f t="shared" si="23"/>
        <v>0</v>
      </c>
      <c r="V18" s="328">
        <f t="shared" si="24"/>
        <v>2430.6000000000004</v>
      </c>
      <c r="W18" s="328">
        <f t="shared" si="25"/>
        <v>2430.6000000000004</v>
      </c>
      <c r="X18" s="340">
        <v>1</v>
      </c>
      <c r="Y18" s="328">
        <f t="shared" si="26"/>
        <v>2430.6000000000004</v>
      </c>
      <c r="Z18" s="328">
        <f t="shared" si="27"/>
        <v>2430.6000000000004</v>
      </c>
      <c r="AA18" s="371">
        <f t="shared" si="28"/>
        <v>0</v>
      </c>
      <c r="AB18" s="371">
        <v>0</v>
      </c>
      <c r="AC18" s="339">
        <f t="shared" si="12"/>
        <v>118</v>
      </c>
      <c r="AD18" s="325">
        <f t="shared" si="13"/>
        <v>122.75</v>
      </c>
      <c r="AE18" s="339">
        <f t="shared" si="14"/>
        <v>121</v>
      </c>
      <c r="AF18" s="325">
        <f t="shared" si="15"/>
        <v>121.75</v>
      </c>
      <c r="AG18" s="338">
        <f t="shared" si="16"/>
        <v>-8.3333333333333329E-2</v>
      </c>
    </row>
    <row r="19" spans="1:51">
      <c r="B19" s="411" t="s">
        <v>1053</v>
      </c>
      <c r="C19" s="333">
        <v>111</v>
      </c>
      <c r="D19" s="333">
        <v>12</v>
      </c>
      <c r="E19" s="342">
        <v>0</v>
      </c>
      <c r="G19" s="351" t="s">
        <v>888</v>
      </c>
      <c r="H19" s="333">
        <v>7</v>
      </c>
      <c r="I19" s="325">
        <f t="shared" si="17"/>
        <v>118</v>
      </c>
      <c r="L19" s="405">
        <v>0</v>
      </c>
      <c r="M19" s="360"/>
      <c r="N19" s="328">
        <f t="shared" ref="N19:N27" si="29">L19-L19*E19</f>
        <v>0</v>
      </c>
      <c r="O19" s="328">
        <f t="shared" si="19"/>
        <v>0</v>
      </c>
      <c r="P19" s="414">
        <v>0</v>
      </c>
      <c r="Q19" s="325">
        <f t="shared" si="21"/>
        <v>0</v>
      </c>
      <c r="R19" s="328">
        <f t="shared" si="22"/>
        <v>0</v>
      </c>
      <c r="S19" s="340">
        <v>1</v>
      </c>
      <c r="T19" s="328">
        <f t="shared" ref="T19:T27" si="30">S19*SUM(P19:Q19)</f>
        <v>0</v>
      </c>
      <c r="V19" s="328">
        <f t="shared" ref="V19:V27" si="31">IF(AC19&gt;AD19,0,IF(AE19&lt;AF19,N19,IF(AND(AE19&gt;=AF19,AE19&lt;=AD19),(N19-R19),IF(AND(AF19&lt;=AC19,AD19&gt;=AC19),0,IF(AE19&gt;AD19,((AF19-AC19)*12)*O19,0)))))</f>
        <v>0</v>
      </c>
      <c r="W19" s="328">
        <f t="shared" si="25"/>
        <v>0</v>
      </c>
      <c r="X19" s="340">
        <v>1</v>
      </c>
      <c r="Y19" s="328">
        <f t="shared" si="26"/>
        <v>0</v>
      </c>
      <c r="Z19" s="328">
        <f t="shared" si="27"/>
        <v>0</v>
      </c>
      <c r="AA19" s="328">
        <f t="shared" ref="AA19:AA27" si="32">IF(M19&gt;0,(L19-Y19)/2,IF(AC19&gt;=AF19,(((L19*S19)*X19)-Z19)/2,((((L19*S19)*X19)-Y19)+(((L19*S19)*X19)-Z19))/2))</f>
        <v>0</v>
      </c>
      <c r="AB19" s="371">
        <v>0</v>
      </c>
      <c r="AC19" s="339">
        <f t="shared" si="12"/>
        <v>111.91666666666667</v>
      </c>
      <c r="AD19" s="325">
        <f t="shared" si="13"/>
        <v>122.75</v>
      </c>
      <c r="AE19" s="339">
        <f t="shared" si="14"/>
        <v>118.91666666666667</v>
      </c>
      <c r="AF19" s="325">
        <f t="shared" si="15"/>
        <v>121.75</v>
      </c>
      <c r="AG19" s="338">
        <f t="shared" si="16"/>
        <v>-8.3333333333333329E-2</v>
      </c>
      <c r="AH19" s="360"/>
      <c r="AI19" s="659"/>
      <c r="AJ19" s="659"/>
      <c r="AK19" s="659"/>
      <c r="AL19" s="443"/>
      <c r="AM19" s="360">
        <v>44165</v>
      </c>
      <c r="AN19" s="659">
        <v>40000</v>
      </c>
      <c r="AO19" s="659">
        <v>153840</v>
      </c>
      <c r="AP19" s="659">
        <v>153840</v>
      </c>
      <c r="AQ19" s="443">
        <f>AN19-(AO19-AP19)</f>
        <v>40000</v>
      </c>
      <c r="AR19" s="448">
        <f>AQ19/H19/12</f>
        <v>476.1904761904762</v>
      </c>
      <c r="AS19" s="660">
        <v>476.19</v>
      </c>
      <c r="AT19" s="447">
        <f>AN19-AS19</f>
        <v>39523.81</v>
      </c>
      <c r="AU19" s="447">
        <f>AR19*12</f>
        <v>5714.2857142857147</v>
      </c>
      <c r="AV19" s="447">
        <f>AT19-AU19</f>
        <v>33809.52428571428</v>
      </c>
      <c r="AW19" s="447">
        <f>+AU19</f>
        <v>5714.2857142857147</v>
      </c>
      <c r="AX19" s="447">
        <f>AV19-AW19</f>
        <v>28095.238571428567</v>
      </c>
    </row>
    <row r="20" spans="1:51">
      <c r="B20" s="412" t="s">
        <v>1143</v>
      </c>
      <c r="C20" s="333">
        <v>118</v>
      </c>
      <c r="D20" s="333">
        <v>1</v>
      </c>
      <c r="E20" s="342">
        <v>0</v>
      </c>
      <c r="G20" s="351" t="s">
        <v>888</v>
      </c>
      <c r="H20" s="333">
        <v>3</v>
      </c>
      <c r="I20" s="325">
        <f t="shared" si="17"/>
        <v>121</v>
      </c>
      <c r="L20" s="405">
        <v>0</v>
      </c>
      <c r="M20" s="360"/>
      <c r="N20" s="328">
        <f t="shared" si="29"/>
        <v>0</v>
      </c>
      <c r="O20" s="328">
        <f t="shared" si="19"/>
        <v>0</v>
      </c>
      <c r="P20" s="328">
        <f t="shared" si="20"/>
        <v>0</v>
      </c>
      <c r="Q20" s="325">
        <f t="shared" si="21"/>
        <v>0</v>
      </c>
      <c r="R20" s="328">
        <f>IF(Q20&gt;0,Q20,P20)</f>
        <v>0</v>
      </c>
      <c r="S20" s="340">
        <v>1</v>
      </c>
      <c r="T20" s="328">
        <f>S20*SUM(P20:Q20)</f>
        <v>0</v>
      </c>
      <c r="V20" s="328">
        <f>IF(AC20&gt;AD20,0,IF(AE20&lt;AF20,N20,IF(AND(AE20&gt;=AF20,AE20&lt;=AD20),(N20-R20),IF(AND(AF20&lt;=AC20,AD20&gt;=AC20),0,IF(AE20&gt;AD20,((AF20-AC20)*12)*O20,0)))))</f>
        <v>0</v>
      </c>
      <c r="W20" s="328">
        <f>V20*S20</f>
        <v>0</v>
      </c>
      <c r="X20" s="340">
        <v>1</v>
      </c>
      <c r="Y20" s="328">
        <f t="shared" si="26"/>
        <v>0</v>
      </c>
      <c r="Z20" s="328">
        <f t="shared" si="27"/>
        <v>0</v>
      </c>
      <c r="AA20" s="328">
        <f t="shared" si="32"/>
        <v>0</v>
      </c>
      <c r="AB20" s="371">
        <v>0</v>
      </c>
      <c r="AC20" s="339">
        <f t="shared" si="12"/>
        <v>118</v>
      </c>
      <c r="AD20" s="325">
        <f t="shared" si="13"/>
        <v>122.75</v>
      </c>
      <c r="AE20" s="339">
        <f t="shared" si="14"/>
        <v>121</v>
      </c>
      <c r="AF20" s="325">
        <f t="shared" si="15"/>
        <v>121.75</v>
      </c>
      <c r="AG20" s="338">
        <f t="shared" si="16"/>
        <v>-8.3333333333333329E-2</v>
      </c>
      <c r="AI20" s="659">
        <v>0</v>
      </c>
      <c r="AJ20" s="659"/>
      <c r="AK20" s="659"/>
      <c r="AL20" s="443"/>
      <c r="AM20" s="443"/>
      <c r="AN20" s="443"/>
      <c r="AO20" s="443"/>
      <c r="AP20" s="443"/>
      <c r="AQ20" s="443"/>
      <c r="AR20" s="448"/>
    </row>
    <row r="21" spans="1:51">
      <c r="A21" s="658"/>
      <c r="B21" s="358" t="s">
        <v>1052</v>
      </c>
      <c r="C21" s="333">
        <v>113</v>
      </c>
      <c r="D21" s="333">
        <v>2</v>
      </c>
      <c r="E21" s="342">
        <v>0</v>
      </c>
      <c r="G21" s="351" t="s">
        <v>888</v>
      </c>
      <c r="H21" s="333">
        <v>5</v>
      </c>
      <c r="I21" s="325">
        <f t="shared" si="17"/>
        <v>118</v>
      </c>
      <c r="L21" s="438">
        <v>109368</v>
      </c>
      <c r="M21" s="360"/>
      <c r="N21" s="328">
        <f t="shared" si="29"/>
        <v>109368</v>
      </c>
      <c r="O21" s="328">
        <f t="shared" si="19"/>
        <v>1822.8</v>
      </c>
      <c r="P21" s="414">
        <v>0</v>
      </c>
      <c r="Q21" s="325">
        <f t="shared" si="21"/>
        <v>0</v>
      </c>
      <c r="R21" s="328">
        <f t="shared" si="22"/>
        <v>0</v>
      </c>
      <c r="S21" s="340">
        <v>1</v>
      </c>
      <c r="T21" s="328">
        <f t="shared" si="30"/>
        <v>0</v>
      </c>
      <c r="V21" s="328">
        <f t="shared" si="31"/>
        <v>109368</v>
      </c>
      <c r="W21" s="328">
        <f t="shared" si="25"/>
        <v>109368</v>
      </c>
      <c r="X21" s="340">
        <v>1</v>
      </c>
      <c r="Y21" s="328">
        <f t="shared" si="26"/>
        <v>109368</v>
      </c>
      <c r="Z21" s="328">
        <f t="shared" si="27"/>
        <v>109368</v>
      </c>
      <c r="AA21" s="328">
        <f t="shared" si="32"/>
        <v>0</v>
      </c>
      <c r="AB21" s="371">
        <f t="shared" ref="AB21" si="33">L21-Z21</f>
        <v>0</v>
      </c>
      <c r="AC21" s="339">
        <f t="shared" si="12"/>
        <v>113.08333333333333</v>
      </c>
      <c r="AD21" s="325">
        <f t="shared" si="13"/>
        <v>122.75</v>
      </c>
      <c r="AE21" s="339">
        <f t="shared" si="14"/>
        <v>118.08333333333333</v>
      </c>
      <c r="AF21" s="325">
        <f t="shared" si="15"/>
        <v>121.75</v>
      </c>
      <c r="AG21" s="338">
        <f t="shared" si="16"/>
        <v>-8.3333333333333329E-2</v>
      </c>
      <c r="AT21" s="360">
        <v>44834</v>
      </c>
      <c r="AU21" s="443">
        <f>+AU19*3/12</f>
        <v>1428.5714285714287</v>
      </c>
      <c r="AV21" s="443"/>
      <c r="AW21" s="443">
        <f>+AW19*9/12</f>
        <v>4285.7142857142862</v>
      </c>
      <c r="AX21" s="443">
        <f>+AX19-AW21</f>
        <v>23809.52428571428</v>
      </c>
      <c r="AY21" s="325" t="s">
        <v>1488</v>
      </c>
    </row>
    <row r="22" spans="1:51">
      <c r="A22" s="658"/>
      <c r="B22" s="358" t="s">
        <v>1051</v>
      </c>
      <c r="C22" s="333">
        <v>113</v>
      </c>
      <c r="D22" s="333">
        <v>12</v>
      </c>
      <c r="E22" s="342">
        <v>0</v>
      </c>
      <c r="G22" s="351" t="s">
        <v>888</v>
      </c>
      <c r="H22" s="333">
        <v>7</v>
      </c>
      <c r="I22" s="325">
        <f t="shared" si="17"/>
        <v>120</v>
      </c>
      <c r="L22" s="439">
        <v>258778</v>
      </c>
      <c r="N22" s="328">
        <f t="shared" si="29"/>
        <v>258778</v>
      </c>
      <c r="O22" s="328">
        <f t="shared" si="19"/>
        <v>3080.6904761904766</v>
      </c>
      <c r="P22" s="328">
        <f t="shared" si="20"/>
        <v>0</v>
      </c>
      <c r="Q22" s="325">
        <f t="shared" si="21"/>
        <v>0</v>
      </c>
      <c r="R22" s="328">
        <f t="shared" si="22"/>
        <v>0</v>
      </c>
      <c r="S22" s="340">
        <v>1</v>
      </c>
      <c r="T22" s="328">
        <f t="shared" si="30"/>
        <v>0</v>
      </c>
      <c r="V22" s="328">
        <f t="shared" si="31"/>
        <v>258778</v>
      </c>
      <c r="W22" s="328">
        <f t="shared" si="25"/>
        <v>258778</v>
      </c>
      <c r="X22" s="340">
        <v>1</v>
      </c>
      <c r="Y22" s="328">
        <f t="shared" si="26"/>
        <v>258778</v>
      </c>
      <c r="Z22" s="328">
        <f t="shared" si="27"/>
        <v>258778</v>
      </c>
      <c r="AA22" s="328">
        <f t="shared" si="32"/>
        <v>0</v>
      </c>
      <c r="AB22" s="371">
        <f t="shared" ref="AB22:AB27" si="34">L22-Z22</f>
        <v>0</v>
      </c>
      <c r="AC22" s="339">
        <f t="shared" si="12"/>
        <v>113.91666666666667</v>
      </c>
      <c r="AD22" s="325">
        <f t="shared" si="13"/>
        <v>122.75</v>
      </c>
      <c r="AE22" s="339">
        <f t="shared" si="14"/>
        <v>120.91666666666667</v>
      </c>
      <c r="AF22" s="325">
        <f t="shared" si="15"/>
        <v>121.75</v>
      </c>
      <c r="AG22" s="338">
        <f t="shared" si="16"/>
        <v>-8.3333333333333329E-2</v>
      </c>
      <c r="AI22" s="443"/>
      <c r="AJ22" s="443"/>
      <c r="AK22" s="443"/>
      <c r="AL22" s="443"/>
      <c r="AM22" s="443"/>
      <c r="AN22" s="443"/>
      <c r="AO22" s="443"/>
      <c r="AP22" s="443"/>
      <c r="AQ22" s="443"/>
    </row>
    <row r="23" spans="1:51">
      <c r="A23" s="658"/>
      <c r="B23" s="358" t="s">
        <v>1050</v>
      </c>
      <c r="C23" s="333">
        <v>115</v>
      </c>
      <c r="D23" s="333">
        <v>4</v>
      </c>
      <c r="E23" s="342">
        <v>0</v>
      </c>
      <c r="G23" s="351" t="s">
        <v>888</v>
      </c>
      <c r="H23" s="333">
        <v>7</v>
      </c>
      <c r="I23" s="325">
        <f t="shared" si="17"/>
        <v>122</v>
      </c>
      <c r="L23" s="438">
        <v>4972</v>
      </c>
      <c r="N23" s="328">
        <f t="shared" si="29"/>
        <v>4972</v>
      </c>
      <c r="O23" s="328">
        <f t="shared" si="19"/>
        <v>59.190476190476197</v>
      </c>
      <c r="P23" s="328">
        <f t="shared" si="20"/>
        <v>355.14285714285717</v>
      </c>
      <c r="Q23" s="325">
        <f t="shared" si="21"/>
        <v>0</v>
      </c>
      <c r="R23" s="328">
        <f t="shared" si="22"/>
        <v>355.14285714285717</v>
      </c>
      <c r="S23" s="340">
        <v>1</v>
      </c>
      <c r="T23" s="328">
        <f t="shared" si="30"/>
        <v>355.14285714285717</v>
      </c>
      <c r="V23" s="328">
        <f t="shared" si="31"/>
        <v>4616.8571428571431</v>
      </c>
      <c r="W23" s="328">
        <f t="shared" si="25"/>
        <v>4616.8571428571431</v>
      </c>
      <c r="X23" s="340">
        <v>1</v>
      </c>
      <c r="Y23" s="328">
        <f t="shared" si="26"/>
        <v>4616.8571428571431</v>
      </c>
      <c r="Z23" s="328">
        <f t="shared" si="27"/>
        <v>4972</v>
      </c>
      <c r="AA23" s="328">
        <f t="shared" si="32"/>
        <v>177.57142857142844</v>
      </c>
      <c r="AB23" s="371">
        <f t="shared" si="34"/>
        <v>0</v>
      </c>
      <c r="AC23" s="339">
        <f t="shared" si="12"/>
        <v>115.25</v>
      </c>
      <c r="AD23" s="325">
        <f t="shared" si="13"/>
        <v>122.75</v>
      </c>
      <c r="AE23" s="339">
        <f t="shared" si="14"/>
        <v>122.25</v>
      </c>
      <c r="AF23" s="325">
        <f t="shared" si="15"/>
        <v>121.75</v>
      </c>
      <c r="AG23" s="338">
        <f t="shared" si="16"/>
        <v>-8.3333333333333329E-2</v>
      </c>
      <c r="AI23" s="443"/>
      <c r="AJ23" s="443"/>
      <c r="AK23" s="443"/>
      <c r="AL23" s="443"/>
      <c r="AM23" s="443"/>
      <c r="AN23" s="443"/>
      <c r="AO23" s="443"/>
      <c r="AP23" s="443"/>
      <c r="AQ23" s="443"/>
    </row>
    <row r="24" spans="1:51">
      <c r="A24" s="658"/>
      <c r="B24" s="358" t="s">
        <v>1049</v>
      </c>
      <c r="C24" s="333">
        <v>116</v>
      </c>
      <c r="D24" s="333">
        <v>7</v>
      </c>
      <c r="E24" s="342">
        <v>0</v>
      </c>
      <c r="G24" s="351" t="s">
        <v>888</v>
      </c>
      <c r="H24" s="333">
        <v>7</v>
      </c>
      <c r="I24" s="325">
        <f t="shared" si="17"/>
        <v>123</v>
      </c>
      <c r="L24" s="439">
        <v>157120</v>
      </c>
      <c r="N24" s="328">
        <f t="shared" si="29"/>
        <v>157120</v>
      </c>
      <c r="O24" s="328">
        <f t="shared" si="19"/>
        <v>1870.4761904761906</v>
      </c>
      <c r="P24" s="328">
        <f t="shared" si="20"/>
        <v>22445.714285714286</v>
      </c>
      <c r="Q24" s="325">
        <f t="shared" si="21"/>
        <v>0</v>
      </c>
      <c r="R24" s="328">
        <f t="shared" si="22"/>
        <v>22445.714285714286</v>
      </c>
      <c r="S24" s="340">
        <v>1</v>
      </c>
      <c r="T24" s="328">
        <f t="shared" si="30"/>
        <v>22445.714285714286</v>
      </c>
      <c r="V24" s="328">
        <f t="shared" si="31"/>
        <v>117840.00000000001</v>
      </c>
      <c r="W24" s="328">
        <f t="shared" si="25"/>
        <v>117840.00000000001</v>
      </c>
      <c r="X24" s="340">
        <v>1</v>
      </c>
      <c r="Y24" s="328">
        <f t="shared" si="26"/>
        <v>117840.00000000001</v>
      </c>
      <c r="Z24" s="328">
        <f t="shared" si="27"/>
        <v>140285.71428571429</v>
      </c>
      <c r="AA24" s="328">
        <f t="shared" si="32"/>
        <v>28057.142857142848</v>
      </c>
      <c r="AB24" s="371">
        <f t="shared" si="34"/>
        <v>16834.28571428571</v>
      </c>
      <c r="AC24" s="339">
        <f t="shared" si="12"/>
        <v>116.5</v>
      </c>
      <c r="AD24" s="325">
        <f t="shared" si="13"/>
        <v>122.75</v>
      </c>
      <c r="AE24" s="339">
        <f t="shared" si="14"/>
        <v>123.5</v>
      </c>
      <c r="AF24" s="325">
        <f t="shared" si="15"/>
        <v>121.75</v>
      </c>
      <c r="AG24" s="338">
        <f t="shared" si="16"/>
        <v>-8.3333333333333329E-2</v>
      </c>
      <c r="AI24" s="443"/>
      <c r="AJ24" s="443"/>
      <c r="AK24" s="443"/>
      <c r="AL24" s="443"/>
      <c r="AM24" s="443"/>
      <c r="AN24" s="443"/>
      <c r="AO24" s="443"/>
      <c r="AP24" s="443"/>
      <c r="AQ24" s="443"/>
    </row>
    <row r="25" spans="1:51">
      <c r="A25" s="658"/>
      <c r="B25" s="768" t="s">
        <v>1047</v>
      </c>
      <c r="C25" s="333">
        <v>116</v>
      </c>
      <c r="D25" s="333">
        <v>12</v>
      </c>
      <c r="E25" s="342">
        <v>0</v>
      </c>
      <c r="G25" s="351" t="s">
        <v>888</v>
      </c>
      <c r="H25" s="333">
        <v>7</v>
      </c>
      <c r="I25" s="325">
        <f t="shared" si="17"/>
        <v>123</v>
      </c>
      <c r="L25" s="439">
        <v>124942</v>
      </c>
      <c r="N25" s="328">
        <f t="shared" si="29"/>
        <v>124942</v>
      </c>
      <c r="O25" s="328">
        <f t="shared" si="19"/>
        <v>1487.4047619047617</v>
      </c>
      <c r="P25" s="328">
        <f t="shared" si="20"/>
        <v>17848.857142857141</v>
      </c>
      <c r="Q25" s="325">
        <f t="shared" si="21"/>
        <v>0</v>
      </c>
      <c r="R25" s="328">
        <f t="shared" si="22"/>
        <v>17848.857142857141</v>
      </c>
      <c r="S25" s="340">
        <v>1</v>
      </c>
      <c r="T25" s="328">
        <f t="shared" si="30"/>
        <v>17848.857142857141</v>
      </c>
      <c r="V25" s="328">
        <f t="shared" si="31"/>
        <v>86269.476190476096</v>
      </c>
      <c r="W25" s="328">
        <f t="shared" si="25"/>
        <v>86269.476190476096</v>
      </c>
      <c r="X25" s="340">
        <v>1</v>
      </c>
      <c r="Y25" s="328">
        <f t="shared" si="26"/>
        <v>86269.476190476096</v>
      </c>
      <c r="Z25" s="328">
        <f t="shared" si="27"/>
        <v>104118.33333333324</v>
      </c>
      <c r="AA25" s="328">
        <f t="shared" si="32"/>
        <v>29748.095238095331</v>
      </c>
      <c r="AB25" s="371">
        <f t="shared" si="34"/>
        <v>20823.666666666759</v>
      </c>
      <c r="AC25" s="339">
        <f t="shared" si="12"/>
        <v>116.91666666666667</v>
      </c>
      <c r="AD25" s="325">
        <f t="shared" si="13"/>
        <v>122.75</v>
      </c>
      <c r="AE25" s="339">
        <f t="shared" si="14"/>
        <v>123.91666666666667</v>
      </c>
      <c r="AF25" s="325">
        <f t="shared" si="15"/>
        <v>121.75</v>
      </c>
      <c r="AG25" s="338">
        <f t="shared" si="16"/>
        <v>-8.3333333333333329E-2</v>
      </c>
      <c r="AI25" s="443"/>
      <c r="AJ25" s="443"/>
      <c r="AK25" s="443"/>
      <c r="AL25" s="443"/>
      <c r="AM25" s="443"/>
      <c r="AN25" s="443"/>
      <c r="AO25" s="443"/>
      <c r="AP25" s="443"/>
      <c r="AQ25" s="443"/>
    </row>
    <row r="26" spans="1:51">
      <c r="A26" s="658"/>
      <c r="B26" s="358" t="s">
        <v>1046</v>
      </c>
      <c r="C26" s="333">
        <v>117</v>
      </c>
      <c r="D26" s="333">
        <v>12</v>
      </c>
      <c r="E26" s="342">
        <v>0</v>
      </c>
      <c r="G26" s="351" t="s">
        <v>888</v>
      </c>
      <c r="H26" s="333">
        <v>7</v>
      </c>
      <c r="I26" s="325">
        <f t="shared" si="17"/>
        <v>124</v>
      </c>
      <c r="L26" s="438">
        <v>9549</v>
      </c>
      <c r="N26" s="328">
        <f t="shared" si="29"/>
        <v>9549</v>
      </c>
      <c r="O26" s="328">
        <f t="shared" si="19"/>
        <v>113.67857142857143</v>
      </c>
      <c r="P26" s="328">
        <f t="shared" si="20"/>
        <v>1364.1428571428571</v>
      </c>
      <c r="Q26" s="325">
        <f t="shared" si="21"/>
        <v>0</v>
      </c>
      <c r="R26" s="328">
        <f t="shared" si="22"/>
        <v>1364.1428571428571</v>
      </c>
      <c r="S26" s="340">
        <v>1</v>
      </c>
      <c r="T26" s="328">
        <f t="shared" si="30"/>
        <v>1364.1428571428571</v>
      </c>
      <c r="V26" s="328">
        <f t="shared" si="31"/>
        <v>5229.214285714279</v>
      </c>
      <c r="W26" s="328">
        <f t="shared" si="25"/>
        <v>5229.214285714279</v>
      </c>
      <c r="X26" s="340">
        <v>1</v>
      </c>
      <c r="Y26" s="328">
        <f t="shared" si="26"/>
        <v>5229.214285714279</v>
      </c>
      <c r="Z26" s="328">
        <f t="shared" si="27"/>
        <v>6593.3571428571358</v>
      </c>
      <c r="AA26" s="328">
        <f t="shared" si="32"/>
        <v>3637.7142857142926</v>
      </c>
      <c r="AB26" s="371">
        <f t="shared" si="34"/>
        <v>2955.6428571428642</v>
      </c>
      <c r="AC26" s="339">
        <f t="shared" si="12"/>
        <v>117.91666666666667</v>
      </c>
      <c r="AD26" s="325">
        <f t="shared" si="13"/>
        <v>122.75</v>
      </c>
      <c r="AE26" s="339">
        <f t="shared" si="14"/>
        <v>124.91666666666667</v>
      </c>
      <c r="AF26" s="325">
        <f t="shared" si="15"/>
        <v>121.75</v>
      </c>
      <c r="AG26" s="338">
        <f t="shared" si="16"/>
        <v>-8.3333333333333329E-2</v>
      </c>
      <c r="AI26" s="443"/>
      <c r="AJ26" s="443"/>
      <c r="AK26" s="443"/>
      <c r="AL26" s="443"/>
      <c r="AM26" s="443"/>
      <c r="AN26" s="443"/>
      <c r="AO26" s="443"/>
      <c r="AP26" s="443"/>
      <c r="AQ26" s="443"/>
    </row>
    <row r="27" spans="1:51">
      <c r="A27" s="658"/>
      <c r="B27" s="358" t="s">
        <v>1045</v>
      </c>
      <c r="C27" s="333">
        <v>118</v>
      </c>
      <c r="D27" s="333">
        <v>7</v>
      </c>
      <c r="E27" s="342">
        <v>0</v>
      </c>
      <c r="G27" s="351" t="s">
        <v>888</v>
      </c>
      <c r="H27" s="333">
        <v>7</v>
      </c>
      <c r="I27" s="325">
        <f t="shared" si="17"/>
        <v>125</v>
      </c>
      <c r="L27" s="439">
        <v>323218</v>
      </c>
      <c r="N27" s="328">
        <f t="shared" si="29"/>
        <v>323218</v>
      </c>
      <c r="O27" s="328">
        <f t="shared" si="19"/>
        <v>3847.8333333333335</v>
      </c>
      <c r="P27" s="328">
        <f t="shared" si="20"/>
        <v>46174</v>
      </c>
      <c r="Q27" s="325">
        <f t="shared" si="21"/>
        <v>0</v>
      </c>
      <c r="R27" s="328">
        <f>IF(Q27&gt;0,Q27,P27)</f>
        <v>46174</v>
      </c>
      <c r="S27" s="340">
        <v>1</v>
      </c>
      <c r="T27" s="328">
        <f t="shared" si="30"/>
        <v>46174</v>
      </c>
      <c r="V27" s="328">
        <f t="shared" si="31"/>
        <v>150065.5</v>
      </c>
      <c r="W27" s="328">
        <f t="shared" si="25"/>
        <v>150065.5</v>
      </c>
      <c r="X27" s="340">
        <v>1</v>
      </c>
      <c r="Y27" s="328">
        <f t="shared" si="26"/>
        <v>150065.5</v>
      </c>
      <c r="Z27" s="328">
        <f t="shared" si="27"/>
        <v>196239.5</v>
      </c>
      <c r="AA27" s="328">
        <f t="shared" si="32"/>
        <v>150065.5</v>
      </c>
      <c r="AB27" s="371">
        <f t="shared" si="34"/>
        <v>126978.5</v>
      </c>
      <c r="AC27" s="339">
        <f t="shared" si="12"/>
        <v>118.5</v>
      </c>
      <c r="AD27" s="325">
        <f t="shared" si="13"/>
        <v>122.75</v>
      </c>
      <c r="AE27" s="339">
        <f t="shared" si="14"/>
        <v>125.5</v>
      </c>
      <c r="AF27" s="325">
        <f t="shared" si="15"/>
        <v>121.75</v>
      </c>
      <c r="AG27" s="338">
        <f t="shared" si="16"/>
        <v>-8.3333333333333329E-2</v>
      </c>
      <c r="AI27" s="443"/>
      <c r="AJ27" s="443"/>
      <c r="AK27" s="443"/>
      <c r="AL27" s="443"/>
      <c r="AM27" s="443"/>
      <c r="AN27" s="443"/>
      <c r="AO27" s="443"/>
      <c r="AP27" s="443"/>
      <c r="AQ27" s="443"/>
    </row>
    <row r="28" spans="1:51">
      <c r="A28" s="658"/>
      <c r="B28" s="358" t="s">
        <v>1044</v>
      </c>
      <c r="C28" s="333">
        <v>118</v>
      </c>
      <c r="D28" s="333">
        <v>7</v>
      </c>
      <c r="E28" s="342">
        <v>0</v>
      </c>
      <c r="G28" s="351" t="s">
        <v>888</v>
      </c>
      <c r="H28" s="333">
        <v>7</v>
      </c>
      <c r="I28" s="325">
        <f t="shared" ref="I28:I33" si="35">C28+H28</f>
        <v>125</v>
      </c>
      <c r="L28" s="439">
        <v>173570</v>
      </c>
      <c r="N28" s="328">
        <f t="shared" ref="N28:N33" si="36">L28-L28*E28</f>
        <v>173570</v>
      </c>
      <c r="O28" s="328">
        <f>N28/H28/12</f>
        <v>2066.3095238095239</v>
      </c>
      <c r="P28" s="328">
        <f t="shared" si="20"/>
        <v>24795.714285714286</v>
      </c>
      <c r="Q28" s="325">
        <f t="shared" ref="Q28:Q33" si="37">IF(M28=0,0,IF(AND(AG28&gt;=AF28,AG28&lt;=AE28),((AG28-AF28)*12)*O28,0))</f>
        <v>0</v>
      </c>
      <c r="R28" s="328">
        <f t="shared" ref="R28:R33" si="38">IF(Q28&gt;0,Q28,P28)</f>
        <v>24795.714285714286</v>
      </c>
      <c r="S28" s="340">
        <v>1</v>
      </c>
      <c r="T28" s="328">
        <f t="shared" ref="T28:T30" si="39">S28*SUM(P28:Q28)</f>
        <v>24795.714285714286</v>
      </c>
      <c r="V28" s="328">
        <f t="shared" ref="V28:V33" si="40">IF(AC28&gt;AD28,0,IF(AE28&lt;AF28,N28,IF(AND(AE28&gt;=AF28,AE28&lt;=AD28),(N28-R28),IF(AND(AF28&lt;=AC28,AD28&gt;=AC28),0,IF(AE28&gt;AD28,((AF28-AC28)*12)*O28,0)))))</f>
        <v>80586.071428571435</v>
      </c>
      <c r="W28" s="328">
        <f t="shared" ref="W28:W33" si="41">V28*S28</f>
        <v>80586.071428571435</v>
      </c>
      <c r="X28" s="340">
        <v>1</v>
      </c>
      <c r="Y28" s="328">
        <f t="shared" ref="Y28:Y33" si="42">W28*X28</f>
        <v>80586.071428571435</v>
      </c>
      <c r="Z28" s="328">
        <f t="shared" ref="Z28:Z33" si="43">IF(M28&gt;0,0,Y28+T28*X28)*X28</f>
        <v>105381.78571428572</v>
      </c>
      <c r="AA28" s="328">
        <f t="shared" ref="AA28:AA33" si="44">IF(M28&gt;0,(L28-Y28)/2,IF(AC28&gt;=AF28,(((L28*S28)*X28)-Z28)/2,((((L28*S28)*X28)-Y28)+(((L28*S28)*X28)-Z28))/2))</f>
        <v>80586.07142857142</v>
      </c>
      <c r="AB28" s="371">
        <f t="shared" ref="AB28:AB33" si="45">L28-Z28</f>
        <v>68188.214285714275</v>
      </c>
      <c r="AC28" s="339">
        <f t="shared" si="12"/>
        <v>118.5</v>
      </c>
      <c r="AD28" s="325">
        <f t="shared" si="13"/>
        <v>122.75</v>
      </c>
      <c r="AE28" s="339">
        <f t="shared" si="14"/>
        <v>125.5</v>
      </c>
      <c r="AF28" s="325">
        <f t="shared" si="15"/>
        <v>121.75</v>
      </c>
      <c r="AG28" s="338">
        <f t="shared" si="16"/>
        <v>-8.3333333333333329E-2</v>
      </c>
      <c r="AI28" s="443"/>
      <c r="AJ28" s="443"/>
      <c r="AK28" s="443"/>
      <c r="AL28" s="443"/>
      <c r="AM28" s="443"/>
      <c r="AN28" s="443"/>
      <c r="AO28" s="443"/>
      <c r="AP28" s="443"/>
      <c r="AQ28" s="443"/>
    </row>
    <row r="29" spans="1:51">
      <c r="A29" s="658"/>
      <c r="B29" s="358" t="s">
        <v>1295</v>
      </c>
      <c r="C29" s="333">
        <v>119</v>
      </c>
      <c r="D29" s="333">
        <v>4</v>
      </c>
      <c r="E29" s="342">
        <v>0</v>
      </c>
      <c r="G29" s="351" t="s">
        <v>888</v>
      </c>
      <c r="H29" s="333">
        <v>7</v>
      </c>
      <c r="I29" s="325">
        <f t="shared" si="35"/>
        <v>126</v>
      </c>
      <c r="L29" s="439">
        <v>8041</v>
      </c>
      <c r="N29" s="328">
        <f t="shared" si="36"/>
        <v>8041</v>
      </c>
      <c r="O29" s="328">
        <f t="shared" ref="O29:O30" si="46">N29/H29/12</f>
        <v>95.726190476190482</v>
      </c>
      <c r="P29" s="328">
        <f t="shared" ref="P29:P33" si="47">IF(M29&gt;0,0,IF(OR(AC29&gt;AD29,AE29&lt;AF29),0,IF(AND(AE29&gt;=AF29,AE29&lt;=AD29),O29*((AE29-AF29)*12),IF(AND(AF29&lt;=AC29,AD29&gt;=AC29),((AD29-AC29)*12)*O29,IF(AE29&gt;AD29,12*O29,0)))))</f>
        <v>1148.7142857142858</v>
      </c>
      <c r="Q29" s="325">
        <f t="shared" si="37"/>
        <v>0</v>
      </c>
      <c r="R29" s="328">
        <f t="shared" si="38"/>
        <v>1148.7142857142858</v>
      </c>
      <c r="S29" s="340">
        <v>1</v>
      </c>
      <c r="T29" s="328">
        <f t="shared" si="39"/>
        <v>1148.7142857142858</v>
      </c>
      <c r="V29" s="328">
        <f t="shared" si="40"/>
        <v>2871.7857142857147</v>
      </c>
      <c r="W29" s="328">
        <f t="shared" si="41"/>
        <v>2871.7857142857147</v>
      </c>
      <c r="X29" s="340">
        <v>1</v>
      </c>
      <c r="Y29" s="328">
        <f t="shared" si="42"/>
        <v>2871.7857142857147</v>
      </c>
      <c r="Z29" s="328">
        <f t="shared" si="43"/>
        <v>4020.5000000000005</v>
      </c>
      <c r="AA29" s="328">
        <f t="shared" si="44"/>
        <v>4594.8571428571422</v>
      </c>
      <c r="AB29" s="371">
        <f t="shared" si="45"/>
        <v>4020.4999999999995</v>
      </c>
      <c r="AC29" s="339">
        <f t="shared" si="12"/>
        <v>119.25</v>
      </c>
      <c r="AD29" s="325">
        <f t="shared" si="13"/>
        <v>122.75</v>
      </c>
      <c r="AE29" s="339">
        <f t="shared" si="14"/>
        <v>126.25</v>
      </c>
      <c r="AF29" s="325">
        <f t="shared" si="15"/>
        <v>121.75</v>
      </c>
      <c r="AG29" s="338">
        <f t="shared" si="16"/>
        <v>-8.3333333333333329E-2</v>
      </c>
      <c r="AI29" s="443"/>
      <c r="AJ29" s="443"/>
      <c r="AK29" s="443"/>
      <c r="AL29" s="443"/>
      <c r="AM29" s="443"/>
      <c r="AN29" s="443"/>
      <c r="AO29" s="443"/>
      <c r="AP29" s="443"/>
      <c r="AQ29" s="443"/>
    </row>
    <row r="30" spans="1:51">
      <c r="A30" s="658"/>
      <c r="B30" s="358" t="s">
        <v>1296</v>
      </c>
      <c r="C30" s="333">
        <v>119</v>
      </c>
      <c r="D30" s="333">
        <v>6</v>
      </c>
      <c r="E30" s="342">
        <v>0</v>
      </c>
      <c r="G30" s="351" t="s">
        <v>888</v>
      </c>
      <c r="H30" s="333">
        <v>7</v>
      </c>
      <c r="I30" s="325">
        <f t="shared" si="35"/>
        <v>126</v>
      </c>
      <c r="L30" s="439">
        <v>11604</v>
      </c>
      <c r="N30" s="328">
        <f t="shared" si="36"/>
        <v>11604</v>
      </c>
      <c r="O30" s="328">
        <f t="shared" si="46"/>
        <v>138.14285714285714</v>
      </c>
      <c r="P30" s="328">
        <f t="shared" si="47"/>
        <v>1657.7142857142858</v>
      </c>
      <c r="Q30" s="325">
        <f t="shared" si="37"/>
        <v>0</v>
      </c>
      <c r="R30" s="328">
        <f t="shared" si="38"/>
        <v>1657.7142857142858</v>
      </c>
      <c r="S30" s="340">
        <v>1</v>
      </c>
      <c r="T30" s="328">
        <f t="shared" si="39"/>
        <v>1657.7142857142858</v>
      </c>
      <c r="V30" s="328">
        <f t="shared" si="40"/>
        <v>3867.9999999999918</v>
      </c>
      <c r="W30" s="328">
        <f t="shared" si="41"/>
        <v>3867.9999999999918</v>
      </c>
      <c r="X30" s="340">
        <v>1</v>
      </c>
      <c r="Y30" s="328">
        <f t="shared" si="42"/>
        <v>3867.9999999999918</v>
      </c>
      <c r="Z30" s="328">
        <f t="shared" si="43"/>
        <v>5525.7142857142771</v>
      </c>
      <c r="AA30" s="328">
        <f t="shared" si="44"/>
        <v>6907.142857142866</v>
      </c>
      <c r="AB30" s="371">
        <f t="shared" si="45"/>
        <v>6078.2857142857229</v>
      </c>
      <c r="AC30" s="339">
        <f t="shared" si="12"/>
        <v>119.41666666666667</v>
      </c>
      <c r="AD30" s="325">
        <f t="shared" si="13"/>
        <v>122.75</v>
      </c>
      <c r="AE30" s="339">
        <f t="shared" si="14"/>
        <v>126.41666666666667</v>
      </c>
      <c r="AF30" s="325">
        <f t="shared" si="15"/>
        <v>121.75</v>
      </c>
      <c r="AG30" s="338">
        <f t="shared" si="16"/>
        <v>-8.3333333333333329E-2</v>
      </c>
      <c r="AI30" s="443"/>
      <c r="AJ30" s="443"/>
      <c r="AK30" s="443"/>
      <c r="AL30" s="443"/>
      <c r="AM30" s="443"/>
      <c r="AN30" s="443"/>
      <c r="AO30" s="443"/>
      <c r="AP30" s="443"/>
      <c r="AQ30" s="443"/>
    </row>
    <row r="31" spans="1:51">
      <c r="A31" s="658"/>
      <c r="B31" s="358" t="s">
        <v>1297</v>
      </c>
      <c r="C31" s="333">
        <v>119</v>
      </c>
      <c r="D31" s="333">
        <v>8</v>
      </c>
      <c r="E31" s="342">
        <v>0</v>
      </c>
      <c r="G31" s="351" t="s">
        <v>888</v>
      </c>
      <c r="H31" s="333">
        <v>7</v>
      </c>
      <c r="I31" s="325">
        <f t="shared" si="35"/>
        <v>126</v>
      </c>
      <c r="L31" s="439">
        <v>184484</v>
      </c>
      <c r="N31" s="328">
        <f t="shared" si="36"/>
        <v>184484</v>
      </c>
      <c r="O31" s="328">
        <f>N31/H31/12</f>
        <v>2196.238095238095</v>
      </c>
      <c r="P31" s="328">
        <f t="shared" si="47"/>
        <v>26354.857142857138</v>
      </c>
      <c r="Q31" s="325">
        <f t="shared" si="37"/>
        <v>0</v>
      </c>
      <c r="R31" s="328">
        <f t="shared" si="38"/>
        <v>26354.857142857138</v>
      </c>
      <c r="S31" s="340">
        <v>1</v>
      </c>
      <c r="T31" s="328">
        <f t="shared" ref="T31:T33" si="48">S31*SUM(P31:Q31)</f>
        <v>26354.857142857138</v>
      </c>
      <c r="V31" s="328">
        <f t="shared" si="40"/>
        <v>57102.190476190597</v>
      </c>
      <c r="W31" s="328">
        <f t="shared" si="41"/>
        <v>57102.190476190597</v>
      </c>
      <c r="X31" s="340">
        <v>1</v>
      </c>
      <c r="Y31" s="328">
        <f t="shared" si="42"/>
        <v>57102.190476190597</v>
      </c>
      <c r="Z31" s="328">
        <f t="shared" si="43"/>
        <v>83457.047619047735</v>
      </c>
      <c r="AA31" s="328">
        <f t="shared" si="44"/>
        <v>114204.38095238083</v>
      </c>
      <c r="AB31" s="371">
        <f t="shared" si="45"/>
        <v>101026.95238095227</v>
      </c>
      <c r="AC31" s="339">
        <f t="shared" si="12"/>
        <v>119.58333333333333</v>
      </c>
      <c r="AD31" s="325">
        <f t="shared" si="13"/>
        <v>122.75</v>
      </c>
      <c r="AE31" s="339">
        <f t="shared" si="14"/>
        <v>126.58333333333333</v>
      </c>
      <c r="AF31" s="325">
        <f t="shared" si="15"/>
        <v>121.75</v>
      </c>
      <c r="AG31" s="338">
        <f t="shared" si="16"/>
        <v>-8.3333333333333329E-2</v>
      </c>
      <c r="AI31" s="443"/>
      <c r="AJ31" s="443"/>
      <c r="AK31" s="443"/>
      <c r="AL31" s="443"/>
      <c r="AM31" s="443"/>
      <c r="AN31" s="443"/>
      <c r="AO31" s="443"/>
      <c r="AP31" s="443"/>
      <c r="AQ31" s="443"/>
    </row>
    <row r="32" spans="1:51">
      <c r="A32" s="658"/>
      <c r="B32" s="358" t="s">
        <v>1323</v>
      </c>
      <c r="C32" s="333">
        <v>120</v>
      </c>
      <c r="D32" s="333">
        <v>11</v>
      </c>
      <c r="E32" s="342">
        <v>0</v>
      </c>
      <c r="G32" s="351" t="s">
        <v>888</v>
      </c>
      <c r="H32" s="333">
        <v>7</v>
      </c>
      <c r="I32" s="325">
        <f t="shared" ref="I32" si="49">C32+H32</f>
        <v>127</v>
      </c>
      <c r="L32" s="439">
        <v>173102</v>
      </c>
      <c r="N32" s="328">
        <f t="shared" ref="N32" si="50">L32-L32*E32</f>
        <v>173102</v>
      </c>
      <c r="O32" s="328">
        <f>N32/H32/12</f>
        <v>2060.738095238095</v>
      </c>
      <c r="P32" s="328">
        <f t="shared" ref="P32" si="51">IF(M32&gt;0,0,IF(OR(AC32&gt;AD32,AE32&lt;AF32),0,IF(AND(AE32&gt;=AF32,AE32&lt;=AD32),O32*((AE32-AF32)*12),IF(AND(AF32&lt;=AC32,AD32&gt;=AC32),((AD32-AC32)*12)*O32,IF(AE32&gt;AD32,12*O32,0)))))</f>
        <v>24728.857142857138</v>
      </c>
      <c r="Q32" s="325">
        <f t="shared" ref="Q32" si="52">IF(M32=0,0,IF(AND(AG32&gt;=AF32,AG32&lt;=AE32),((AG32-AF32)*12)*O32,0))</f>
        <v>0</v>
      </c>
      <c r="R32" s="328">
        <f t="shared" ref="R32" si="53">IF(Q32&gt;0,Q32,P32)</f>
        <v>24728.857142857138</v>
      </c>
      <c r="S32" s="340">
        <v>1</v>
      </c>
      <c r="T32" s="328">
        <f t="shared" ref="T32" si="54">S32*SUM(P32:Q32)</f>
        <v>24728.857142857138</v>
      </c>
      <c r="V32" s="328">
        <f t="shared" ref="V32" si="55">IF(AC32&gt;AD32,0,IF(AE32&lt;AF32,N32,IF(AND(AE32&gt;=AF32,AE32&lt;=AD32),(N32-R32),IF(AND(AF32&lt;=AC32,AD32&gt;=AC32),0,IF(AE32&gt;AD32,((AF32-AC32)*12)*O32,0)))))</f>
        <v>22668.119047619162</v>
      </c>
      <c r="W32" s="328">
        <f t="shared" ref="W32" si="56">V32*S32</f>
        <v>22668.119047619162</v>
      </c>
      <c r="X32" s="340">
        <v>1</v>
      </c>
      <c r="Y32" s="328">
        <f t="shared" ref="Y32" si="57">W32*X32</f>
        <v>22668.119047619162</v>
      </c>
      <c r="Z32" s="328">
        <f t="shared" ref="Z32" si="58">IF(M32&gt;0,0,Y32+T32*X32)*X32</f>
        <v>47396.9761904763</v>
      </c>
      <c r="AA32" s="328">
        <f t="shared" ref="AA32" si="59">IF(M32&gt;0,(L32-Y32)/2,IF(AC32&gt;=AF32,(((L32*S32)*X32)-Z32)/2,((((L32*S32)*X32)-Y32)+(((L32*S32)*X32)-Z32))/2))</f>
        <v>138069.45238095225</v>
      </c>
      <c r="AB32" s="371">
        <f t="shared" ref="AB32" si="60">L32-Z32</f>
        <v>125705.0238095237</v>
      </c>
      <c r="AC32" s="339">
        <f t="shared" si="12"/>
        <v>120.83333333333333</v>
      </c>
      <c r="AD32" s="325">
        <f t="shared" si="13"/>
        <v>122.75</v>
      </c>
      <c r="AE32" s="339">
        <f t="shared" si="14"/>
        <v>127.83333333333333</v>
      </c>
      <c r="AF32" s="325">
        <f t="shared" si="15"/>
        <v>121.75</v>
      </c>
      <c r="AG32" s="338">
        <f t="shared" si="16"/>
        <v>-8.3333333333333329E-2</v>
      </c>
      <c r="AI32" s="443"/>
      <c r="AJ32" s="443"/>
      <c r="AK32" s="443"/>
      <c r="AL32" s="443"/>
      <c r="AM32" s="443"/>
      <c r="AN32" s="443"/>
      <c r="AO32" s="443"/>
      <c r="AP32" s="443"/>
      <c r="AQ32" s="443"/>
    </row>
    <row r="33" spans="1:43">
      <c r="A33" s="658"/>
      <c r="B33" s="358" t="s">
        <v>1472</v>
      </c>
      <c r="C33" s="333">
        <v>122</v>
      </c>
      <c r="D33" s="333">
        <v>4</v>
      </c>
      <c r="E33" s="342">
        <v>0</v>
      </c>
      <c r="G33" s="351" t="s">
        <v>888</v>
      </c>
      <c r="H33" s="333">
        <v>7</v>
      </c>
      <c r="I33" s="325">
        <f t="shared" si="35"/>
        <v>129</v>
      </c>
      <c r="L33" s="439">
        <v>175378</v>
      </c>
      <c r="N33" s="328">
        <f t="shared" si="36"/>
        <v>175378</v>
      </c>
      <c r="O33" s="328">
        <f>N33/H33/12</f>
        <v>2087.8333333333335</v>
      </c>
      <c r="P33" s="328">
        <f t="shared" si="47"/>
        <v>12527</v>
      </c>
      <c r="Q33" s="325">
        <f t="shared" si="37"/>
        <v>0</v>
      </c>
      <c r="R33" s="328">
        <f t="shared" si="38"/>
        <v>12527</v>
      </c>
      <c r="S33" s="340">
        <v>1</v>
      </c>
      <c r="T33" s="328">
        <f t="shared" si="48"/>
        <v>12527</v>
      </c>
      <c r="V33" s="328">
        <f t="shared" si="40"/>
        <v>0</v>
      </c>
      <c r="W33" s="328">
        <f t="shared" si="41"/>
        <v>0</v>
      </c>
      <c r="X33" s="340">
        <v>1</v>
      </c>
      <c r="Y33" s="328">
        <f t="shared" si="42"/>
        <v>0</v>
      </c>
      <c r="Z33" s="328">
        <f t="shared" si="43"/>
        <v>12527</v>
      </c>
      <c r="AA33" s="328">
        <f t="shared" si="44"/>
        <v>81425.5</v>
      </c>
      <c r="AB33" s="371">
        <f t="shared" si="45"/>
        <v>162851</v>
      </c>
      <c r="AC33" s="339">
        <f t="shared" si="12"/>
        <v>122.25</v>
      </c>
      <c r="AD33" s="325">
        <f t="shared" si="13"/>
        <v>122.75</v>
      </c>
      <c r="AE33" s="339">
        <f t="shared" si="14"/>
        <v>129.25</v>
      </c>
      <c r="AF33" s="325">
        <f t="shared" si="15"/>
        <v>121.75</v>
      </c>
      <c r="AG33" s="338">
        <f t="shared" si="16"/>
        <v>-8.3333333333333329E-2</v>
      </c>
      <c r="AI33" s="443"/>
      <c r="AJ33" s="443"/>
      <c r="AK33" s="443"/>
      <c r="AL33" s="443"/>
      <c r="AM33" s="443"/>
      <c r="AN33" s="443"/>
      <c r="AO33" s="443"/>
      <c r="AP33" s="443"/>
      <c r="AQ33" s="443"/>
    </row>
    <row r="34" spans="1:43">
      <c r="A34" s="658"/>
      <c r="B34" s="358"/>
      <c r="C34" s="333"/>
      <c r="D34" s="333"/>
      <c r="E34" s="342"/>
      <c r="G34" s="351"/>
      <c r="H34" s="333"/>
      <c r="L34" s="439"/>
      <c r="N34" s="328"/>
      <c r="O34" s="328"/>
      <c r="P34" s="328"/>
      <c r="R34" s="328"/>
      <c r="S34" s="340"/>
      <c r="T34" s="328"/>
      <c r="V34" s="328"/>
      <c r="W34" s="328"/>
      <c r="X34" s="340"/>
      <c r="Y34" s="328"/>
      <c r="Z34" s="328"/>
      <c r="AA34" s="328"/>
      <c r="AB34" s="371"/>
      <c r="AC34" s="339"/>
      <c r="AE34" s="339"/>
      <c r="AG34" s="338"/>
      <c r="AI34" s="443"/>
      <c r="AJ34" s="443"/>
      <c r="AK34" s="443"/>
      <c r="AL34" s="443"/>
      <c r="AM34" s="443"/>
      <c r="AN34" s="443"/>
      <c r="AO34" s="443"/>
      <c r="AP34" s="443"/>
      <c r="AQ34" s="443"/>
    </row>
    <row r="35" spans="1:43">
      <c r="L35" s="406"/>
      <c r="M35" s="356"/>
      <c r="N35" s="355"/>
      <c r="P35" s="355"/>
      <c r="Q35" s="356"/>
      <c r="R35" s="355"/>
      <c r="T35" s="329"/>
      <c r="V35" s="355"/>
      <c r="W35" s="355"/>
      <c r="Y35" s="355"/>
      <c r="Z35" s="355"/>
      <c r="AA35" s="355"/>
      <c r="AB35" s="399"/>
      <c r="AI35" s="443"/>
      <c r="AJ35" s="443"/>
      <c r="AK35" s="443"/>
      <c r="AL35" s="443"/>
      <c r="AM35" s="443"/>
      <c r="AN35" s="443"/>
      <c r="AO35" s="443"/>
      <c r="AP35" s="443"/>
      <c r="AQ35" s="443"/>
    </row>
    <row r="36" spans="1:43" ht="16.5" thickBot="1">
      <c r="L36" s="407">
        <f>SUM(L13:L34)</f>
        <v>1768804.87</v>
      </c>
      <c r="N36" s="328">
        <f>SUM(N13:N35)</f>
        <v>1768804.87</v>
      </c>
      <c r="P36" s="328">
        <f>SUM(P13:P35)</f>
        <v>179400.71428571429</v>
      </c>
      <c r="Q36" s="325">
        <f>SUM(Q13:Q35)</f>
        <v>0</v>
      </c>
      <c r="R36" s="681">
        <f>SUM(R13:R35)</f>
        <v>179400.71428571429</v>
      </c>
      <c r="T36" s="354">
        <f>SUM(T13:T35)</f>
        <v>179400.71428571429</v>
      </c>
      <c r="V36" s="328">
        <f>SUM(V13:V35)</f>
        <v>953942.08428571455</v>
      </c>
      <c r="W36" s="328">
        <f>SUM(W13:W35)</f>
        <v>953942.08428571455</v>
      </c>
      <c r="Y36" s="328">
        <f>SUM(Y13:Y35)</f>
        <v>953942.08428571455</v>
      </c>
      <c r="Z36" s="328">
        <f>SUM(Z13:Z35)</f>
        <v>1133342.7985714287</v>
      </c>
      <c r="AA36" s="354">
        <f>SUM(AA13:AA35)</f>
        <v>637473.42857142841</v>
      </c>
      <c r="AB36" s="354">
        <f>SUM(AB13:AB35)</f>
        <v>635462.07142857125</v>
      </c>
      <c r="AI36" s="443"/>
      <c r="AJ36" s="443"/>
      <c r="AK36" s="443"/>
      <c r="AL36" s="443"/>
      <c r="AM36" s="443"/>
      <c r="AN36" s="443"/>
      <c r="AO36" s="443"/>
      <c r="AP36" s="443"/>
      <c r="AQ36" s="443"/>
    </row>
    <row r="37" spans="1:43" ht="16.5" thickTop="1">
      <c r="I37" s="330" t="s">
        <v>886</v>
      </c>
      <c r="L37" s="407">
        <f>SUM(L13:L32)</f>
        <v>1593426.87</v>
      </c>
      <c r="N37" s="328"/>
      <c r="P37" s="357"/>
      <c r="R37" s="328"/>
      <c r="T37" s="329"/>
      <c r="Y37" s="328"/>
      <c r="Z37" s="328"/>
      <c r="AA37" s="328"/>
      <c r="AB37" s="328"/>
      <c r="AI37" s="443"/>
      <c r="AJ37" s="443"/>
      <c r="AK37" s="443"/>
      <c r="AL37" s="443"/>
      <c r="AM37" s="443"/>
      <c r="AN37" s="443"/>
      <c r="AO37" s="443"/>
      <c r="AP37" s="443"/>
      <c r="AQ37" s="443"/>
    </row>
    <row r="38" spans="1:43">
      <c r="I38" s="330"/>
      <c r="L38" s="328"/>
      <c r="N38" s="328"/>
      <c r="P38" s="357"/>
      <c r="R38" s="328"/>
      <c r="T38" s="329"/>
      <c r="Y38" s="328"/>
      <c r="Z38" s="328"/>
      <c r="AA38" s="328"/>
      <c r="AB38" s="328"/>
      <c r="AI38" s="443"/>
      <c r="AJ38" s="443"/>
      <c r="AK38" s="443"/>
      <c r="AL38" s="443"/>
      <c r="AM38" s="443"/>
      <c r="AN38" s="443"/>
      <c r="AO38" s="443"/>
      <c r="AP38" s="443"/>
      <c r="AQ38" s="443"/>
    </row>
    <row r="39" spans="1:43">
      <c r="I39" s="330"/>
      <c r="L39" s="328"/>
      <c r="N39" s="328"/>
      <c r="P39" s="357"/>
      <c r="R39" s="328"/>
      <c r="T39" s="329"/>
      <c r="Y39" s="328"/>
      <c r="Z39" s="328"/>
      <c r="AA39" s="328"/>
      <c r="AB39" s="328"/>
      <c r="AI39" s="443"/>
      <c r="AJ39" s="443"/>
      <c r="AK39" s="443"/>
      <c r="AL39" s="443"/>
      <c r="AM39" s="443"/>
      <c r="AN39" s="443"/>
      <c r="AO39" s="443"/>
      <c r="AP39" s="443"/>
      <c r="AQ39" s="443"/>
    </row>
    <row r="40" spans="1:43">
      <c r="B40" s="333" t="s">
        <v>1061</v>
      </c>
      <c r="C40" s="333">
        <v>80</v>
      </c>
      <c r="D40" s="333">
        <v>4</v>
      </c>
      <c r="E40" s="342">
        <v>0</v>
      </c>
      <c r="G40" s="351" t="s">
        <v>888</v>
      </c>
      <c r="H40" s="333">
        <v>5</v>
      </c>
      <c r="I40" s="325">
        <f t="shared" ref="I40:I43" si="61">C40+H40</f>
        <v>85</v>
      </c>
      <c r="L40" s="405">
        <v>3152</v>
      </c>
      <c r="N40" s="328">
        <f>L40-L40*E40</f>
        <v>3152</v>
      </c>
      <c r="O40" s="328">
        <f t="shared" ref="O40:O43" si="62">N40/H40/12</f>
        <v>52.533333333333331</v>
      </c>
      <c r="P40" s="328">
        <f t="shared" ref="P40:P43" si="63">IF(M40&gt;0,0,IF(OR(AC40&gt;AD40,AE40&lt;AF40),0,IF(AND(AE40&gt;=AF40,AE40&lt;=AD40),O40*((AE40-AF40)*12),IF(AND(AF40&lt;=AC40,AD40&gt;=AC40),((AD40-AC40)*12)*O40,IF(AE40&gt;AD40,12*O40,0)))))</f>
        <v>0</v>
      </c>
      <c r="Q40" s="325">
        <f t="shared" ref="Q40:Q43" si="64">IF(M40=0,0,IF(AND(AG40&gt;=AF40,AG40&lt;=AE40),((AG40-AF40)*12)*O40,0))</f>
        <v>0</v>
      </c>
      <c r="R40" s="328">
        <f t="shared" ref="R40:R43" si="65">IF(Q40&gt;0,Q40,P40)</f>
        <v>0</v>
      </c>
      <c r="S40" s="340">
        <v>1</v>
      </c>
      <c r="T40" s="328">
        <f>S40*R40</f>
        <v>0</v>
      </c>
      <c r="V40" s="328">
        <f>IF(AC40&gt;AD40,0,IF(AE40&lt;AF40,N40,IF(AND(AE40&gt;=AF40,AE40&lt;=AD40),(N40-R40),IF(AND(AF40&lt;=AC40,AD40&gt;=AC40),0,IF(AE40&gt;AD40,((AF40-AC40)*12)*O40,0)))))</f>
        <v>3152</v>
      </c>
      <c r="W40" s="328">
        <f t="shared" ref="W40:W43" si="66">V40*S40</f>
        <v>3152</v>
      </c>
      <c r="X40" s="340">
        <v>1</v>
      </c>
      <c r="Y40" s="328">
        <f t="shared" ref="Y40" si="67">W40*X40</f>
        <v>3152</v>
      </c>
      <c r="Z40" s="328">
        <f t="shared" ref="Z40:Z43" si="68">IF(M40&gt;0,0,Y40+T40*X40)*X40</f>
        <v>3152</v>
      </c>
      <c r="AA40" s="371">
        <f>IF(M40&gt;0,(L40-Y40)/2,IF(AC40&gt;=AF40,(((L40*S40)*X40)-Z40)/2,((((L40*S40)*X40)-Y40)+(((L40*S40)*X40)-Z40))/2))</f>
        <v>0</v>
      </c>
      <c r="AB40" s="371">
        <f>L40-Z40</f>
        <v>0</v>
      </c>
      <c r="AC40" s="339">
        <f t="shared" ref="AC40:AC43" si="69">$C40+(($D40-1)/12)</f>
        <v>80.25</v>
      </c>
      <c r="AD40" s="325">
        <f t="shared" ref="AD40:AD43" si="70">($N$5+1)-($N$2/12)</f>
        <v>122.75</v>
      </c>
      <c r="AE40" s="339">
        <f t="shared" ref="AE40:AE43" si="71">$I40+(($D40-1)/12)</f>
        <v>85.25</v>
      </c>
      <c r="AF40" s="325">
        <f t="shared" ref="AF40:AF43" si="72">$N$4+($N$3/12)</f>
        <v>121.75</v>
      </c>
      <c r="AG40" s="338">
        <f t="shared" ref="AG40:AG43" si="73">$J40+(($K40-1)/12)</f>
        <v>-8.3333333333333329E-2</v>
      </c>
    </row>
    <row r="41" spans="1:43">
      <c r="B41" s="408" t="s">
        <v>1133</v>
      </c>
      <c r="C41" s="333">
        <v>118</v>
      </c>
      <c r="D41" s="333">
        <v>1</v>
      </c>
      <c r="E41" s="342">
        <v>0</v>
      </c>
      <c r="G41" s="351" t="s">
        <v>888</v>
      </c>
      <c r="H41" s="333">
        <v>3</v>
      </c>
      <c r="I41" s="325">
        <f t="shared" si="61"/>
        <v>121</v>
      </c>
      <c r="L41" s="405">
        <v>1573.4250000000002</v>
      </c>
      <c r="N41" s="328">
        <f>L41-L41*E41</f>
        <v>1573.4250000000002</v>
      </c>
      <c r="O41" s="328">
        <f t="shared" si="62"/>
        <v>43.706250000000004</v>
      </c>
      <c r="P41" s="328">
        <f t="shared" si="63"/>
        <v>0</v>
      </c>
      <c r="Q41" s="325">
        <f t="shared" si="64"/>
        <v>0</v>
      </c>
      <c r="R41" s="328">
        <f t="shared" si="65"/>
        <v>0</v>
      </c>
      <c r="S41" s="340">
        <v>1</v>
      </c>
      <c r="T41" s="328">
        <f t="shared" ref="T41:T43" si="74">S41*R41</f>
        <v>0</v>
      </c>
      <c r="V41" s="328">
        <f>IF(AC41&gt;AD41,0,IF(AE41&lt;AF41,N41,IF(AND(AE41&gt;=AF41,AE41&lt;=AD41),(N41-R41),IF(AND(AF41&lt;=AC41,AD41&gt;=AC41),0,IF(AE41&gt;AD41,((AF41-AC41)*12)*O41,0)))))</f>
        <v>1573.4250000000002</v>
      </c>
      <c r="W41" s="328">
        <f t="shared" si="66"/>
        <v>1573.4250000000002</v>
      </c>
      <c r="X41" s="340">
        <v>1</v>
      </c>
      <c r="Y41" s="328">
        <f>W41*X41</f>
        <v>1573.4250000000002</v>
      </c>
      <c r="Z41" s="328">
        <f t="shared" si="68"/>
        <v>1573.4250000000002</v>
      </c>
      <c r="AA41" s="371">
        <f>IF(M41&gt;0,(L41-Y41)/2,IF(AC41&gt;=AF41,(((L41*S41)*X41)-Z41)/2,((((L41*S41)*X41)-Y41)+(((L41*S41)*X41)-Z41))/2))</f>
        <v>0</v>
      </c>
      <c r="AB41" s="371">
        <f>L41-Z41</f>
        <v>0</v>
      </c>
      <c r="AC41" s="339">
        <f t="shared" si="69"/>
        <v>118</v>
      </c>
      <c r="AD41" s="325">
        <f t="shared" si="70"/>
        <v>122.75</v>
      </c>
      <c r="AE41" s="339">
        <f t="shared" si="71"/>
        <v>121</v>
      </c>
      <c r="AF41" s="325">
        <f t="shared" si="72"/>
        <v>121.75</v>
      </c>
      <c r="AG41" s="338">
        <f t="shared" si="73"/>
        <v>-8.3333333333333329E-2</v>
      </c>
    </row>
    <row r="42" spans="1:43">
      <c r="B42" s="333" t="s">
        <v>1055</v>
      </c>
      <c r="C42" s="333">
        <v>104</v>
      </c>
      <c r="D42" s="333">
        <v>6</v>
      </c>
      <c r="E42" s="342">
        <v>0</v>
      </c>
      <c r="G42" s="351" t="s">
        <v>888</v>
      </c>
      <c r="H42" s="333">
        <v>7</v>
      </c>
      <c r="I42" s="325">
        <f t="shared" si="61"/>
        <v>111</v>
      </c>
      <c r="L42" s="405">
        <v>1600</v>
      </c>
      <c r="N42" s="328">
        <f t="shared" ref="N42:N43" si="75">L42-L42*E42</f>
        <v>1600</v>
      </c>
      <c r="O42" s="328">
        <f t="shared" si="62"/>
        <v>19.047619047619047</v>
      </c>
      <c r="P42" s="328">
        <f t="shared" si="63"/>
        <v>0</v>
      </c>
      <c r="Q42" s="325">
        <f t="shared" si="64"/>
        <v>0</v>
      </c>
      <c r="R42" s="328">
        <f t="shared" si="65"/>
        <v>0</v>
      </c>
      <c r="S42" s="340">
        <v>1</v>
      </c>
      <c r="T42" s="328">
        <f t="shared" si="74"/>
        <v>0</v>
      </c>
      <c r="V42" s="328">
        <f t="shared" ref="V42:V43" si="76">IF(AC42&gt;AD42,0,IF(AE42&lt;AF42,N42,IF(AND(AE42&gt;=AF42,AE42&lt;=AD42),(N42-R42),IF(AND(AF42&lt;=AC42,AD42&gt;=AC42),0,IF(AE42&gt;AD42,((AF42-AC42)*12)*O42,0)))))</f>
        <v>1600</v>
      </c>
      <c r="W42" s="328">
        <f t="shared" si="66"/>
        <v>1600</v>
      </c>
      <c r="X42" s="340">
        <v>1</v>
      </c>
      <c r="Y42" s="328">
        <f t="shared" ref="Y42:Y43" si="77">W42*X42</f>
        <v>1600</v>
      </c>
      <c r="Z42" s="328">
        <f t="shared" si="68"/>
        <v>1600</v>
      </c>
      <c r="AA42" s="371">
        <f t="shared" ref="AA42:AA43" si="78">IF(M42&gt;0,(L42-Y42)/2,IF(AC42&gt;=AF42,(((L42*S42)*X42)-Z42)/2,((((L42*S42)*X42)-Y42)+(((L42*S42)*X42)-Z42))/2))</f>
        <v>0</v>
      </c>
      <c r="AB42" s="371">
        <v>0</v>
      </c>
      <c r="AC42" s="339">
        <f t="shared" si="69"/>
        <v>104.41666666666667</v>
      </c>
      <c r="AD42" s="325">
        <f t="shared" si="70"/>
        <v>122.75</v>
      </c>
      <c r="AE42" s="339">
        <f t="shared" si="71"/>
        <v>111.41666666666667</v>
      </c>
      <c r="AF42" s="325">
        <f t="shared" si="72"/>
        <v>121.75</v>
      </c>
      <c r="AG42" s="338">
        <f t="shared" si="73"/>
        <v>-8.3333333333333329E-2</v>
      </c>
    </row>
    <row r="43" spans="1:43">
      <c r="B43" s="408" t="s">
        <v>1134</v>
      </c>
      <c r="C43" s="333">
        <v>118</v>
      </c>
      <c r="D43" s="333">
        <v>1</v>
      </c>
      <c r="E43" s="342">
        <v>0</v>
      </c>
      <c r="G43" s="351" t="s">
        <v>888</v>
      </c>
      <c r="H43" s="333">
        <v>3</v>
      </c>
      <c r="I43" s="325">
        <f t="shared" si="61"/>
        <v>121</v>
      </c>
      <c r="L43" s="405">
        <v>400</v>
      </c>
      <c r="N43" s="328">
        <f t="shared" si="75"/>
        <v>400</v>
      </c>
      <c r="O43" s="328">
        <f t="shared" si="62"/>
        <v>11.111111111111112</v>
      </c>
      <c r="P43" s="328">
        <f t="shared" si="63"/>
        <v>0</v>
      </c>
      <c r="Q43" s="325">
        <f t="shared" si="64"/>
        <v>0</v>
      </c>
      <c r="R43" s="328">
        <f t="shared" si="65"/>
        <v>0</v>
      </c>
      <c r="S43" s="340">
        <v>1</v>
      </c>
      <c r="T43" s="328">
        <f t="shared" si="74"/>
        <v>0</v>
      </c>
      <c r="V43" s="328">
        <f t="shared" si="76"/>
        <v>400</v>
      </c>
      <c r="W43" s="328">
        <f t="shared" si="66"/>
        <v>400</v>
      </c>
      <c r="X43" s="340">
        <v>1</v>
      </c>
      <c r="Y43" s="328">
        <f t="shared" si="77"/>
        <v>400</v>
      </c>
      <c r="Z43" s="328">
        <f t="shared" si="68"/>
        <v>400</v>
      </c>
      <c r="AA43" s="371">
        <f t="shared" si="78"/>
        <v>0</v>
      </c>
      <c r="AB43" s="371">
        <f>L43-Z43</f>
        <v>0</v>
      </c>
      <c r="AC43" s="339">
        <f t="shared" si="69"/>
        <v>118</v>
      </c>
      <c r="AD43" s="325">
        <f t="shared" si="70"/>
        <v>122.75</v>
      </c>
      <c r="AE43" s="339">
        <f t="shared" si="71"/>
        <v>121</v>
      </c>
      <c r="AF43" s="325">
        <f t="shared" si="72"/>
        <v>121.75</v>
      </c>
      <c r="AG43" s="338">
        <f t="shared" si="73"/>
        <v>-8.3333333333333329E-2</v>
      </c>
    </row>
    <row r="44" spans="1:43">
      <c r="B44" s="333" t="s">
        <v>1059</v>
      </c>
      <c r="C44" s="333">
        <v>105</v>
      </c>
      <c r="D44" s="333">
        <v>2</v>
      </c>
      <c r="E44" s="342">
        <v>0</v>
      </c>
      <c r="G44" s="351" t="s">
        <v>888</v>
      </c>
      <c r="H44" s="333">
        <v>5</v>
      </c>
      <c r="I44" s="325">
        <f t="shared" ref="I44:I53" si="79">C44+H44</f>
        <v>110</v>
      </c>
      <c r="L44" s="405">
        <v>17331</v>
      </c>
      <c r="N44" s="328">
        <f t="shared" ref="N44:N53" si="80">L44-L44*E44</f>
        <v>17331</v>
      </c>
      <c r="O44" s="328">
        <f t="shared" ref="O44:O53" si="81">N44/H44/12</f>
        <v>288.84999999999997</v>
      </c>
      <c r="P44" s="328">
        <f t="shared" ref="P44:P57" si="82">IF(M44&gt;0,0,IF(OR(AC44&gt;AD44,AE44&lt;AF44),0,IF(AND(AE44&gt;=AF44,AE44&lt;=AD44),O44*((AE44-AF44)*12),IF(AND(AF44&lt;=AC44,AD44&gt;=AC44),((AD44-AC44)*12)*O44,IF(AE44&gt;AD44,12*O44,0)))))</f>
        <v>0</v>
      </c>
      <c r="Q44" s="325">
        <f t="shared" ref="Q44:Q53" si="83">IF(M44=0,0,IF(AND(AG44&gt;=AF44,AG44&lt;=AE44),((AG44-AF44)*12)*O44,0))</f>
        <v>0</v>
      </c>
      <c r="R44" s="328">
        <f t="shared" ref="R44:R53" si="84">IF(Q44&gt;0,Q44,P44)</f>
        <v>0</v>
      </c>
      <c r="S44" s="340">
        <v>1</v>
      </c>
      <c r="T44" s="328">
        <f t="shared" ref="T44:T51" si="85">S44*R44</f>
        <v>0</v>
      </c>
      <c r="V44" s="328">
        <f t="shared" ref="V44:V53" si="86">IF(AC44&gt;AD44,0,IF(AE44&lt;AF44,N44,IF(AND(AE44&gt;=AF44,AE44&lt;=AD44),(N44-R44),IF(AND(AF44&lt;=AC44,AD44&gt;=AC44),0,IF(AE44&gt;AD44,((AF44-AC44)*12)*O44,0)))))</f>
        <v>17331</v>
      </c>
      <c r="W44" s="328">
        <f t="shared" ref="W44:W53" si="87">V44*S44</f>
        <v>17331</v>
      </c>
      <c r="X44" s="340">
        <v>1</v>
      </c>
      <c r="Y44" s="328">
        <f t="shared" ref="Y44:Y53" si="88">W44*X44</f>
        <v>17331</v>
      </c>
      <c r="Z44" s="328">
        <f t="shared" ref="Z44:Z53" si="89">IF(M44&gt;0,0,Y44+T44*X44)*X44</f>
        <v>17331</v>
      </c>
      <c r="AA44" s="371">
        <f t="shared" ref="AA44:AA53" si="90">IF(M44&gt;0,(L44-Y44)/2,IF(AC44&gt;=AF44,(((L44*S44)*X44)-Z44)/2,((((L44*S44)*X44)-Y44)+(((L44*S44)*X44)-Z44))/2))</f>
        <v>0</v>
      </c>
      <c r="AB44" s="371">
        <v>0</v>
      </c>
      <c r="AC44" s="339">
        <f t="shared" ref="AC44:AC57" si="91">$C44+(($D44-1)/12)</f>
        <v>105.08333333333333</v>
      </c>
      <c r="AD44" s="325">
        <f t="shared" si="13"/>
        <v>122.75</v>
      </c>
      <c r="AE44" s="339">
        <f t="shared" ref="AE44:AE57" si="92">$I44+(($D44-1)/12)</f>
        <v>110.08333333333333</v>
      </c>
      <c r="AF44" s="325">
        <f t="shared" si="15"/>
        <v>121.75</v>
      </c>
      <c r="AG44" s="338">
        <f t="shared" ref="AG44:AG57" si="93">$J44+(($K44-1)/12)</f>
        <v>-8.3333333333333329E-2</v>
      </c>
    </row>
    <row r="45" spans="1:43">
      <c r="B45" s="408" t="s">
        <v>1136</v>
      </c>
      <c r="C45" s="333">
        <v>118</v>
      </c>
      <c r="D45" s="333">
        <v>1</v>
      </c>
      <c r="E45" s="342">
        <v>0</v>
      </c>
      <c r="G45" s="351" t="s">
        <v>888</v>
      </c>
      <c r="H45" s="333">
        <v>3</v>
      </c>
      <c r="I45" s="325">
        <f t="shared" si="79"/>
        <v>121</v>
      </c>
      <c r="L45" s="405">
        <v>8536.11</v>
      </c>
      <c r="N45" s="328">
        <f t="shared" si="80"/>
        <v>8536.11</v>
      </c>
      <c r="O45" s="328">
        <f t="shared" si="81"/>
        <v>237.1141666666667</v>
      </c>
      <c r="P45" s="328">
        <f t="shared" si="82"/>
        <v>0</v>
      </c>
      <c r="Q45" s="325">
        <f t="shared" si="83"/>
        <v>0</v>
      </c>
      <c r="R45" s="328">
        <f t="shared" si="84"/>
        <v>0</v>
      </c>
      <c r="S45" s="340">
        <v>1</v>
      </c>
      <c r="T45" s="328">
        <f t="shared" si="85"/>
        <v>0</v>
      </c>
      <c r="V45" s="328">
        <f t="shared" si="86"/>
        <v>8536.11</v>
      </c>
      <c r="W45" s="328">
        <f t="shared" si="87"/>
        <v>8536.11</v>
      </c>
      <c r="X45" s="340">
        <v>1</v>
      </c>
      <c r="Y45" s="328">
        <f t="shared" si="88"/>
        <v>8536.11</v>
      </c>
      <c r="Z45" s="328">
        <f t="shared" si="89"/>
        <v>8536.11</v>
      </c>
      <c r="AA45" s="371">
        <f t="shared" si="90"/>
        <v>0</v>
      </c>
      <c r="AB45" s="371">
        <f>L45-Z45</f>
        <v>0</v>
      </c>
      <c r="AC45" s="339">
        <f t="shared" si="91"/>
        <v>118</v>
      </c>
      <c r="AD45" s="325">
        <f t="shared" si="13"/>
        <v>122.75</v>
      </c>
      <c r="AE45" s="339">
        <f t="shared" si="92"/>
        <v>121</v>
      </c>
      <c r="AF45" s="325">
        <f t="shared" si="15"/>
        <v>121.75</v>
      </c>
      <c r="AG45" s="338">
        <f t="shared" si="93"/>
        <v>-8.3333333333333329E-2</v>
      </c>
    </row>
    <row r="46" spans="1:43">
      <c r="B46" s="333" t="s">
        <v>1058</v>
      </c>
      <c r="C46" s="333">
        <v>108</v>
      </c>
      <c r="D46" s="333">
        <v>1</v>
      </c>
      <c r="E46" s="342">
        <v>0</v>
      </c>
      <c r="G46" s="351" t="s">
        <v>888</v>
      </c>
      <c r="H46" s="333">
        <v>7</v>
      </c>
      <c r="I46" s="325">
        <f t="shared" si="79"/>
        <v>115</v>
      </c>
      <c r="L46" s="405">
        <v>4000</v>
      </c>
      <c r="N46" s="328">
        <f t="shared" si="80"/>
        <v>4000</v>
      </c>
      <c r="O46" s="328">
        <f t="shared" si="81"/>
        <v>47.61904761904762</v>
      </c>
      <c r="P46" s="328">
        <f t="shared" si="82"/>
        <v>0</v>
      </c>
      <c r="Q46" s="325">
        <f t="shared" si="83"/>
        <v>0</v>
      </c>
      <c r="R46" s="328">
        <f t="shared" si="84"/>
        <v>0</v>
      </c>
      <c r="S46" s="340">
        <v>1</v>
      </c>
      <c r="T46" s="328">
        <f t="shared" si="85"/>
        <v>0</v>
      </c>
      <c r="V46" s="328">
        <f t="shared" si="86"/>
        <v>4000</v>
      </c>
      <c r="W46" s="328">
        <f t="shared" si="87"/>
        <v>4000</v>
      </c>
      <c r="X46" s="340">
        <v>1</v>
      </c>
      <c r="Y46" s="328">
        <f t="shared" si="88"/>
        <v>4000</v>
      </c>
      <c r="Z46" s="328">
        <f t="shared" si="89"/>
        <v>4000</v>
      </c>
      <c r="AA46" s="371">
        <f t="shared" si="90"/>
        <v>0</v>
      </c>
      <c r="AB46" s="371">
        <v>0</v>
      </c>
      <c r="AC46" s="339">
        <f t="shared" si="91"/>
        <v>108</v>
      </c>
      <c r="AD46" s="325">
        <f t="shared" si="13"/>
        <v>122.75</v>
      </c>
      <c r="AE46" s="339">
        <f t="shared" si="92"/>
        <v>115</v>
      </c>
      <c r="AF46" s="325">
        <f t="shared" si="15"/>
        <v>121.75</v>
      </c>
      <c r="AG46" s="338">
        <f t="shared" si="93"/>
        <v>-8.3333333333333329E-2</v>
      </c>
    </row>
    <row r="47" spans="1:43">
      <c r="B47" s="408" t="s">
        <v>1137</v>
      </c>
      <c r="C47" s="333">
        <v>118</v>
      </c>
      <c r="D47" s="333">
        <v>1</v>
      </c>
      <c r="E47" s="342">
        <v>0</v>
      </c>
      <c r="G47" s="351" t="s">
        <v>888</v>
      </c>
      <c r="H47" s="333">
        <v>3</v>
      </c>
      <c r="I47" s="325">
        <f t="shared" si="79"/>
        <v>121</v>
      </c>
      <c r="L47" s="405">
        <v>1000</v>
      </c>
      <c r="N47" s="328">
        <f t="shared" si="80"/>
        <v>1000</v>
      </c>
      <c r="O47" s="328">
        <f t="shared" si="81"/>
        <v>27.777777777777775</v>
      </c>
      <c r="P47" s="328">
        <f t="shared" si="82"/>
        <v>0</v>
      </c>
      <c r="Q47" s="325">
        <f t="shared" si="83"/>
        <v>0</v>
      </c>
      <c r="R47" s="328">
        <f t="shared" si="84"/>
        <v>0</v>
      </c>
      <c r="S47" s="340">
        <v>1</v>
      </c>
      <c r="T47" s="328">
        <f t="shared" si="85"/>
        <v>0</v>
      </c>
      <c r="V47" s="328">
        <f t="shared" si="86"/>
        <v>1000</v>
      </c>
      <c r="W47" s="328">
        <f t="shared" si="87"/>
        <v>1000</v>
      </c>
      <c r="X47" s="340">
        <v>1</v>
      </c>
      <c r="Y47" s="328">
        <f t="shared" si="88"/>
        <v>1000</v>
      </c>
      <c r="Z47" s="328">
        <f t="shared" si="89"/>
        <v>1000</v>
      </c>
      <c r="AA47" s="371">
        <f t="shared" si="90"/>
        <v>0</v>
      </c>
      <c r="AB47" s="371">
        <f>L47-Z47</f>
        <v>0</v>
      </c>
      <c r="AC47" s="339">
        <f t="shared" si="91"/>
        <v>118</v>
      </c>
      <c r="AD47" s="325">
        <f t="shared" si="13"/>
        <v>122.75</v>
      </c>
      <c r="AE47" s="339">
        <f t="shared" si="92"/>
        <v>121</v>
      </c>
      <c r="AF47" s="325">
        <f t="shared" si="15"/>
        <v>121.75</v>
      </c>
      <c r="AG47" s="338">
        <f t="shared" si="93"/>
        <v>-8.3333333333333329E-2</v>
      </c>
    </row>
    <row r="48" spans="1:43">
      <c r="B48" s="333" t="s">
        <v>1057</v>
      </c>
      <c r="C48" s="333">
        <v>108</v>
      </c>
      <c r="D48" s="333">
        <v>1</v>
      </c>
      <c r="E48" s="342">
        <v>0</v>
      </c>
      <c r="G48" s="351" t="s">
        <v>888</v>
      </c>
      <c r="H48" s="333">
        <v>7</v>
      </c>
      <c r="I48" s="325">
        <f t="shared" si="79"/>
        <v>115</v>
      </c>
      <c r="L48" s="405">
        <v>2400</v>
      </c>
      <c r="N48" s="328">
        <f t="shared" si="80"/>
        <v>2400</v>
      </c>
      <c r="O48" s="328">
        <f t="shared" si="81"/>
        <v>28.571428571428569</v>
      </c>
      <c r="P48" s="328">
        <f t="shared" si="82"/>
        <v>0</v>
      </c>
      <c r="Q48" s="325">
        <f t="shared" si="83"/>
        <v>0</v>
      </c>
      <c r="R48" s="328">
        <f t="shared" si="84"/>
        <v>0</v>
      </c>
      <c r="S48" s="340">
        <v>1</v>
      </c>
      <c r="T48" s="328">
        <f t="shared" si="85"/>
        <v>0</v>
      </c>
      <c r="V48" s="328">
        <f t="shared" si="86"/>
        <v>2400</v>
      </c>
      <c r="W48" s="328">
        <f t="shared" si="87"/>
        <v>2400</v>
      </c>
      <c r="X48" s="340">
        <v>1</v>
      </c>
      <c r="Y48" s="328">
        <f t="shared" si="88"/>
        <v>2400</v>
      </c>
      <c r="Z48" s="328">
        <f t="shared" si="89"/>
        <v>2400</v>
      </c>
      <c r="AA48" s="371">
        <f t="shared" si="90"/>
        <v>0</v>
      </c>
      <c r="AB48" s="371">
        <v>0</v>
      </c>
      <c r="AC48" s="339">
        <f t="shared" si="91"/>
        <v>108</v>
      </c>
      <c r="AD48" s="325">
        <f t="shared" si="13"/>
        <v>122.75</v>
      </c>
      <c r="AE48" s="339">
        <f t="shared" si="92"/>
        <v>115</v>
      </c>
      <c r="AF48" s="325">
        <f t="shared" si="15"/>
        <v>121.75</v>
      </c>
      <c r="AG48" s="338">
        <f t="shared" si="93"/>
        <v>-8.3333333333333329E-2</v>
      </c>
    </row>
    <row r="49" spans="2:43">
      <c r="B49" s="408" t="s">
        <v>1138</v>
      </c>
      <c r="C49" s="333">
        <v>118</v>
      </c>
      <c r="D49" s="333">
        <v>1</v>
      </c>
      <c r="E49" s="342">
        <v>0</v>
      </c>
      <c r="G49" s="351" t="s">
        <v>888</v>
      </c>
      <c r="H49" s="333">
        <v>3</v>
      </c>
      <c r="I49" s="325">
        <f t="shared" si="79"/>
        <v>121</v>
      </c>
      <c r="L49" s="405">
        <v>600</v>
      </c>
      <c r="N49" s="328">
        <f t="shared" si="80"/>
        <v>600</v>
      </c>
      <c r="O49" s="328">
        <f t="shared" si="81"/>
        <v>16.666666666666668</v>
      </c>
      <c r="P49" s="328">
        <f t="shared" si="82"/>
        <v>0</v>
      </c>
      <c r="Q49" s="325">
        <f t="shared" si="83"/>
        <v>0</v>
      </c>
      <c r="R49" s="328">
        <f t="shared" si="84"/>
        <v>0</v>
      </c>
      <c r="S49" s="340">
        <v>1</v>
      </c>
      <c r="T49" s="328">
        <f t="shared" si="85"/>
        <v>0</v>
      </c>
      <c r="V49" s="328">
        <f t="shared" si="86"/>
        <v>600</v>
      </c>
      <c r="W49" s="328">
        <f t="shared" si="87"/>
        <v>600</v>
      </c>
      <c r="X49" s="340">
        <v>1</v>
      </c>
      <c r="Y49" s="328">
        <f t="shared" si="88"/>
        <v>600</v>
      </c>
      <c r="Z49" s="328">
        <f t="shared" si="89"/>
        <v>600</v>
      </c>
      <c r="AA49" s="371">
        <f t="shared" si="90"/>
        <v>0</v>
      </c>
      <c r="AB49" s="371">
        <f>L49-Z49</f>
        <v>0</v>
      </c>
      <c r="AC49" s="339">
        <f t="shared" si="91"/>
        <v>118</v>
      </c>
      <c r="AD49" s="325">
        <f t="shared" si="13"/>
        <v>122.75</v>
      </c>
      <c r="AE49" s="339">
        <f t="shared" si="92"/>
        <v>121</v>
      </c>
      <c r="AF49" s="325">
        <f t="shared" si="15"/>
        <v>121.75</v>
      </c>
      <c r="AG49" s="338">
        <f t="shared" si="93"/>
        <v>-8.3333333333333329E-2</v>
      </c>
    </row>
    <row r="50" spans="2:43">
      <c r="B50" s="333" t="s">
        <v>1055</v>
      </c>
      <c r="C50" s="333">
        <v>109</v>
      </c>
      <c r="D50" s="333">
        <v>8</v>
      </c>
      <c r="E50" s="342">
        <v>0</v>
      </c>
      <c r="G50" s="351" t="s">
        <v>888</v>
      </c>
      <c r="H50" s="333">
        <v>5</v>
      </c>
      <c r="I50" s="325">
        <f t="shared" si="79"/>
        <v>114</v>
      </c>
      <c r="L50" s="405">
        <v>1158</v>
      </c>
      <c r="N50" s="328">
        <f t="shared" si="80"/>
        <v>1158</v>
      </c>
      <c r="O50" s="328">
        <f t="shared" si="81"/>
        <v>19.3</v>
      </c>
      <c r="P50" s="328">
        <f t="shared" si="82"/>
        <v>0</v>
      </c>
      <c r="Q50" s="325">
        <f t="shared" si="83"/>
        <v>0</v>
      </c>
      <c r="R50" s="328">
        <f t="shared" si="84"/>
        <v>0</v>
      </c>
      <c r="S50" s="340">
        <v>1</v>
      </c>
      <c r="T50" s="328">
        <f t="shared" si="85"/>
        <v>0</v>
      </c>
      <c r="V50" s="328">
        <f t="shared" si="86"/>
        <v>1158</v>
      </c>
      <c r="W50" s="328">
        <f t="shared" si="87"/>
        <v>1158</v>
      </c>
      <c r="X50" s="340">
        <v>1</v>
      </c>
      <c r="Y50" s="328">
        <f t="shared" si="88"/>
        <v>1158</v>
      </c>
      <c r="Z50" s="328">
        <f t="shared" si="89"/>
        <v>1158</v>
      </c>
      <c r="AA50" s="371">
        <f t="shared" si="90"/>
        <v>0</v>
      </c>
      <c r="AB50" s="371">
        <v>0</v>
      </c>
      <c r="AC50" s="339">
        <f t="shared" si="91"/>
        <v>109.58333333333333</v>
      </c>
      <c r="AD50" s="325">
        <f t="shared" si="13"/>
        <v>122.75</v>
      </c>
      <c r="AE50" s="339">
        <f t="shared" si="92"/>
        <v>114.58333333333333</v>
      </c>
      <c r="AF50" s="325">
        <f t="shared" si="15"/>
        <v>121.75</v>
      </c>
      <c r="AG50" s="338">
        <f t="shared" si="93"/>
        <v>-8.3333333333333329E-2</v>
      </c>
    </row>
    <row r="51" spans="2:43">
      <c r="B51" s="408" t="s">
        <v>1134</v>
      </c>
      <c r="C51" s="333">
        <v>118</v>
      </c>
      <c r="D51" s="333">
        <v>1</v>
      </c>
      <c r="E51" s="342">
        <v>0</v>
      </c>
      <c r="G51" s="351" t="s">
        <v>888</v>
      </c>
      <c r="H51" s="333">
        <v>3</v>
      </c>
      <c r="I51" s="325">
        <f t="shared" si="79"/>
        <v>121</v>
      </c>
      <c r="L51" s="405">
        <v>570.24</v>
      </c>
      <c r="N51" s="328">
        <f t="shared" si="80"/>
        <v>570.24</v>
      </c>
      <c r="O51" s="328">
        <f t="shared" si="81"/>
        <v>15.840000000000002</v>
      </c>
      <c r="P51" s="328">
        <f t="shared" si="82"/>
        <v>0</v>
      </c>
      <c r="Q51" s="325">
        <f t="shared" si="83"/>
        <v>0</v>
      </c>
      <c r="R51" s="328">
        <f t="shared" si="84"/>
        <v>0</v>
      </c>
      <c r="S51" s="340">
        <v>1</v>
      </c>
      <c r="T51" s="328">
        <f t="shared" si="85"/>
        <v>0</v>
      </c>
      <c r="V51" s="328">
        <f t="shared" si="86"/>
        <v>570.24</v>
      </c>
      <c r="W51" s="328">
        <f t="shared" si="87"/>
        <v>570.24</v>
      </c>
      <c r="X51" s="340">
        <v>1</v>
      </c>
      <c r="Y51" s="328">
        <f t="shared" si="88"/>
        <v>570.24</v>
      </c>
      <c r="Z51" s="328">
        <f t="shared" si="89"/>
        <v>570.24</v>
      </c>
      <c r="AA51" s="371">
        <f t="shared" si="90"/>
        <v>0</v>
      </c>
      <c r="AB51" s="371">
        <f>L51-Z51</f>
        <v>0</v>
      </c>
      <c r="AC51" s="339">
        <f t="shared" si="91"/>
        <v>118</v>
      </c>
      <c r="AD51" s="325">
        <f t="shared" si="13"/>
        <v>122.75</v>
      </c>
      <c r="AE51" s="339">
        <f t="shared" si="92"/>
        <v>121</v>
      </c>
      <c r="AF51" s="325">
        <f t="shared" si="15"/>
        <v>121.75</v>
      </c>
      <c r="AG51" s="338">
        <f t="shared" si="93"/>
        <v>-8.3333333333333329E-2</v>
      </c>
    </row>
    <row r="52" spans="2:43">
      <c r="B52" s="359" t="s">
        <v>1048</v>
      </c>
      <c r="C52" s="333">
        <v>116</v>
      </c>
      <c r="D52" s="333">
        <v>9</v>
      </c>
      <c r="E52" s="342">
        <v>0</v>
      </c>
      <c r="G52" s="351" t="s">
        <v>888</v>
      </c>
      <c r="H52" s="333">
        <v>5</v>
      </c>
      <c r="I52" s="325">
        <f t="shared" si="79"/>
        <v>121</v>
      </c>
      <c r="L52" s="438">
        <v>61488</v>
      </c>
      <c r="N52" s="328">
        <f t="shared" si="80"/>
        <v>61488</v>
      </c>
      <c r="O52" s="328">
        <f t="shared" si="81"/>
        <v>1024.8</v>
      </c>
      <c r="P52" s="328">
        <f t="shared" si="82"/>
        <v>0</v>
      </c>
      <c r="Q52" s="325">
        <f t="shared" si="83"/>
        <v>0</v>
      </c>
      <c r="R52" s="328">
        <f t="shared" si="84"/>
        <v>0</v>
      </c>
      <c r="S52" s="618">
        <v>1</v>
      </c>
      <c r="T52" s="328">
        <f>S52*SUM(P52:Q52)</f>
        <v>0</v>
      </c>
      <c r="V52" s="328">
        <f t="shared" si="86"/>
        <v>61488</v>
      </c>
      <c r="W52" s="328">
        <f t="shared" si="87"/>
        <v>61488</v>
      </c>
      <c r="X52" s="340">
        <v>1</v>
      </c>
      <c r="Y52" s="328">
        <f t="shared" si="88"/>
        <v>61488</v>
      </c>
      <c r="Z52" s="328">
        <f t="shared" si="89"/>
        <v>61488</v>
      </c>
      <c r="AA52" s="328">
        <f t="shared" si="90"/>
        <v>0</v>
      </c>
      <c r="AB52" s="371">
        <f>L52-Z52</f>
        <v>0</v>
      </c>
      <c r="AC52" s="339">
        <f t="shared" si="91"/>
        <v>116.66666666666667</v>
      </c>
      <c r="AD52" s="325">
        <f t="shared" si="13"/>
        <v>122.75</v>
      </c>
      <c r="AE52" s="339">
        <f t="shared" si="92"/>
        <v>121.66666666666667</v>
      </c>
      <c r="AF52" s="325">
        <f t="shared" si="15"/>
        <v>121.75</v>
      </c>
      <c r="AG52" s="338">
        <f t="shared" si="93"/>
        <v>-8.3333333333333329E-2</v>
      </c>
      <c r="AI52" s="443"/>
      <c r="AJ52" s="443"/>
      <c r="AK52" s="443"/>
      <c r="AL52" s="443"/>
      <c r="AM52" s="443"/>
      <c r="AN52" s="443"/>
      <c r="AO52" s="443"/>
      <c r="AP52" s="443"/>
      <c r="AQ52" s="443"/>
    </row>
    <row r="53" spans="2:43">
      <c r="B53" s="358" t="s">
        <v>1301</v>
      </c>
      <c r="C53" s="333">
        <v>119</v>
      </c>
      <c r="D53" s="333">
        <v>3</v>
      </c>
      <c r="E53" s="342">
        <v>0</v>
      </c>
      <c r="G53" s="351" t="s">
        <v>888</v>
      </c>
      <c r="H53" s="333">
        <v>7</v>
      </c>
      <c r="I53" s="325">
        <f t="shared" si="79"/>
        <v>126</v>
      </c>
      <c r="L53" s="677">
        <v>63853</v>
      </c>
      <c r="N53" s="328">
        <f t="shared" si="80"/>
        <v>63853</v>
      </c>
      <c r="O53" s="328">
        <f t="shared" si="81"/>
        <v>760.15476190476193</v>
      </c>
      <c r="P53" s="328">
        <f t="shared" si="82"/>
        <v>9121.8571428571431</v>
      </c>
      <c r="Q53" s="325">
        <f t="shared" si="83"/>
        <v>0</v>
      </c>
      <c r="R53" s="328">
        <f t="shared" si="84"/>
        <v>9121.8571428571431</v>
      </c>
      <c r="S53" s="340">
        <v>1</v>
      </c>
      <c r="T53" s="328">
        <f>S53*SUM(P53:Q53)</f>
        <v>9121.8571428571431</v>
      </c>
      <c r="V53" s="328">
        <f t="shared" si="86"/>
        <v>23564.797619047575</v>
      </c>
      <c r="W53" s="328">
        <f t="shared" si="87"/>
        <v>23564.797619047575</v>
      </c>
      <c r="X53" s="340">
        <v>1</v>
      </c>
      <c r="Y53" s="328">
        <f t="shared" si="88"/>
        <v>23564.797619047575</v>
      </c>
      <c r="Z53" s="328">
        <f t="shared" si="89"/>
        <v>32686.65476190472</v>
      </c>
      <c r="AA53" s="328">
        <f t="shared" si="90"/>
        <v>35727.273809523853</v>
      </c>
      <c r="AB53" s="371">
        <f>L53-Z53</f>
        <v>31166.34523809528</v>
      </c>
      <c r="AC53" s="339">
        <f t="shared" si="91"/>
        <v>119.16666666666667</v>
      </c>
      <c r="AD53" s="325">
        <f t="shared" si="13"/>
        <v>122.75</v>
      </c>
      <c r="AE53" s="339">
        <f t="shared" si="92"/>
        <v>126.16666666666667</v>
      </c>
      <c r="AF53" s="325">
        <f t="shared" si="15"/>
        <v>121.75</v>
      </c>
      <c r="AG53" s="338">
        <f t="shared" si="93"/>
        <v>-8.3333333333333329E-2</v>
      </c>
      <c r="AI53" s="443"/>
      <c r="AJ53" s="443"/>
      <c r="AK53" s="443"/>
      <c r="AL53" s="443"/>
      <c r="AM53" s="443"/>
      <c r="AN53" s="443"/>
      <c r="AO53" s="443"/>
      <c r="AP53" s="443"/>
      <c r="AQ53" s="443"/>
    </row>
    <row r="54" spans="2:43">
      <c r="B54" s="358" t="s">
        <v>1385</v>
      </c>
      <c r="C54" s="333">
        <v>119</v>
      </c>
      <c r="D54" s="333">
        <v>4</v>
      </c>
      <c r="E54" s="342">
        <v>0</v>
      </c>
      <c r="G54" s="351" t="s">
        <v>888</v>
      </c>
      <c r="H54" s="333">
        <v>7</v>
      </c>
      <c r="I54" s="325">
        <f t="shared" ref="I54:I56" si="94">C54+H54</f>
        <v>126</v>
      </c>
      <c r="L54" s="677">
        <v>3079</v>
      </c>
      <c r="N54" s="328">
        <f t="shared" ref="N54:N56" si="95">L54-L54*E54</f>
        <v>3079</v>
      </c>
      <c r="O54" s="328">
        <f t="shared" ref="O54:O56" si="96">N54/H54/12</f>
        <v>36.654761904761905</v>
      </c>
      <c r="P54" s="328">
        <f t="shared" si="82"/>
        <v>439.85714285714289</v>
      </c>
      <c r="Q54" s="325">
        <f t="shared" ref="Q54:Q56" si="97">IF(M54=0,0,IF(AND(AG54&gt;=AF54,AG54&lt;=AE54),((AG54-AF54)*12)*O54,0))</f>
        <v>0</v>
      </c>
      <c r="R54" s="328">
        <f t="shared" ref="R54:R56" si="98">IF(Q54&gt;0,Q54,P54)</f>
        <v>439.85714285714289</v>
      </c>
      <c r="S54" s="340">
        <v>1</v>
      </c>
      <c r="T54" s="328">
        <f t="shared" ref="T54:T56" si="99">S54*SUM(P54:Q54)</f>
        <v>439.85714285714289</v>
      </c>
      <c r="V54" s="328">
        <f t="shared" ref="V54:V56" si="100">IF(AC54&gt;AD54,0,IF(AE54&lt;AF54,N54,IF(AND(AE54&gt;=AF54,AE54&lt;=AD54),(N54-R54),IF(AND(AF54&lt;=AC54,AD54&gt;=AC54),0,IF(AE54&gt;AD54,((AF54-AC54)*12)*O54,0)))))</f>
        <v>1099.6428571428571</v>
      </c>
      <c r="W54" s="328">
        <f t="shared" ref="W54:W56" si="101">V54*S54</f>
        <v>1099.6428571428571</v>
      </c>
      <c r="X54" s="340">
        <v>1</v>
      </c>
      <c r="Y54" s="328">
        <f t="shared" ref="Y54:Y56" si="102">W54*X54</f>
        <v>1099.6428571428571</v>
      </c>
      <c r="Z54" s="328">
        <f t="shared" ref="Z54:Z56" si="103">IF(M54&gt;0,0,Y54+T54*X54)*X54</f>
        <v>1539.5</v>
      </c>
      <c r="AA54" s="328">
        <f t="shared" ref="AA54:AA56" si="104">IF(M54&gt;0,(L54-Y54)/2,IF(AC54&gt;=AF54,(((L54*S54)*X54)-Z54)/2,((((L54*S54)*X54)-Y54)+(((L54*S54)*X54)-Z54))/2))</f>
        <v>1759.4285714285716</v>
      </c>
      <c r="AB54" s="371">
        <f t="shared" ref="AB54:AB56" si="105">L54-Z54</f>
        <v>1539.5</v>
      </c>
      <c r="AC54" s="339">
        <f t="shared" si="91"/>
        <v>119.25</v>
      </c>
      <c r="AD54" s="325">
        <f t="shared" si="13"/>
        <v>122.75</v>
      </c>
      <c r="AE54" s="339">
        <f t="shared" si="92"/>
        <v>126.25</v>
      </c>
      <c r="AF54" s="325">
        <f t="shared" si="15"/>
        <v>121.75</v>
      </c>
      <c r="AG54" s="338">
        <f t="shared" si="93"/>
        <v>-8.3333333333333329E-2</v>
      </c>
      <c r="AI54" s="443"/>
      <c r="AJ54" s="443"/>
      <c r="AK54" s="443"/>
      <c r="AL54" s="443"/>
      <c r="AM54" s="443"/>
      <c r="AN54" s="443"/>
      <c r="AO54" s="443"/>
      <c r="AP54" s="443"/>
      <c r="AQ54" s="443"/>
    </row>
    <row r="55" spans="2:43">
      <c r="B55" s="358" t="s">
        <v>1333</v>
      </c>
      <c r="C55" s="333">
        <v>120</v>
      </c>
      <c r="D55" s="333">
        <v>3</v>
      </c>
      <c r="E55" s="342">
        <v>0</v>
      </c>
      <c r="G55" s="351" t="s">
        <v>888</v>
      </c>
      <c r="H55" s="333">
        <v>7</v>
      </c>
      <c r="I55" s="325">
        <f t="shared" si="94"/>
        <v>127</v>
      </c>
      <c r="L55" s="677">
        <v>1959</v>
      </c>
      <c r="N55" s="328">
        <f t="shared" si="95"/>
        <v>1959</v>
      </c>
      <c r="O55" s="328">
        <f t="shared" si="96"/>
        <v>23.321428571428569</v>
      </c>
      <c r="P55" s="328">
        <f t="shared" ref="P55:P56" si="106">IF(M55&gt;0,0,IF(OR(AC55&gt;AD55,AE55&lt;AF55),0,IF(AND(AE55&gt;=AF55,AE55&lt;=AD55),O55*((AE55-AF55)*12),IF(AND(AF55&lt;=AC55,AD55&gt;=AC55),((AD55-AC55)*12)*O55,IF(AE55&gt;AD55,12*O55,0)))))</f>
        <v>279.85714285714283</v>
      </c>
      <c r="Q55" s="325">
        <f t="shared" si="97"/>
        <v>0</v>
      </c>
      <c r="R55" s="328">
        <f t="shared" si="98"/>
        <v>279.85714285714283</v>
      </c>
      <c r="S55" s="340">
        <v>1</v>
      </c>
      <c r="T55" s="328">
        <f t="shared" si="99"/>
        <v>279.85714285714283</v>
      </c>
      <c r="V55" s="328">
        <f t="shared" si="100"/>
        <v>443.10714285714147</v>
      </c>
      <c r="W55" s="328">
        <f t="shared" si="101"/>
        <v>443.10714285714147</v>
      </c>
      <c r="X55" s="340">
        <v>1</v>
      </c>
      <c r="Y55" s="328">
        <f t="shared" si="102"/>
        <v>443.10714285714147</v>
      </c>
      <c r="Z55" s="328">
        <f t="shared" si="103"/>
        <v>722.9642857142843</v>
      </c>
      <c r="AA55" s="328">
        <f t="shared" si="104"/>
        <v>1375.9642857142871</v>
      </c>
      <c r="AB55" s="371">
        <f t="shared" si="105"/>
        <v>1236.0357142857156</v>
      </c>
      <c r="AC55" s="339">
        <f t="shared" si="91"/>
        <v>120.16666666666667</v>
      </c>
      <c r="AD55" s="325">
        <f t="shared" si="13"/>
        <v>122.75</v>
      </c>
      <c r="AE55" s="339">
        <f t="shared" si="92"/>
        <v>127.16666666666667</v>
      </c>
      <c r="AF55" s="325">
        <f t="shared" si="15"/>
        <v>121.75</v>
      </c>
      <c r="AG55" s="338">
        <f t="shared" si="93"/>
        <v>-8.3333333333333329E-2</v>
      </c>
      <c r="AI55" s="443"/>
      <c r="AJ55" s="443"/>
      <c r="AK55" s="443"/>
      <c r="AL55" s="443"/>
      <c r="AM55" s="443"/>
      <c r="AN55" s="443"/>
      <c r="AO55" s="443"/>
      <c r="AP55" s="443"/>
      <c r="AQ55" s="443"/>
    </row>
    <row r="56" spans="2:43">
      <c r="B56" s="358" t="s">
        <v>1383</v>
      </c>
      <c r="C56" s="333">
        <v>121</v>
      </c>
      <c r="D56" s="333">
        <v>7</v>
      </c>
      <c r="E56" s="342">
        <v>0</v>
      </c>
      <c r="G56" s="351" t="s">
        <v>888</v>
      </c>
      <c r="H56" s="333">
        <v>7</v>
      </c>
      <c r="I56" s="325">
        <f t="shared" si="94"/>
        <v>128</v>
      </c>
      <c r="L56" s="677">
        <v>52806</v>
      </c>
      <c r="N56" s="328">
        <f t="shared" si="95"/>
        <v>52806</v>
      </c>
      <c r="O56" s="328">
        <f t="shared" si="96"/>
        <v>628.64285714285711</v>
      </c>
      <c r="P56" s="328">
        <f t="shared" si="106"/>
        <v>7543.7142857142853</v>
      </c>
      <c r="Q56" s="325">
        <f t="shared" si="97"/>
        <v>0</v>
      </c>
      <c r="R56" s="328">
        <f t="shared" si="98"/>
        <v>7543.7142857142853</v>
      </c>
      <c r="S56" s="340">
        <v>1</v>
      </c>
      <c r="T56" s="328">
        <f t="shared" si="99"/>
        <v>7543.7142857142853</v>
      </c>
      <c r="V56" s="328">
        <f t="shared" si="100"/>
        <v>1885.9285714285713</v>
      </c>
      <c r="W56" s="328">
        <f t="shared" si="101"/>
        <v>1885.9285714285713</v>
      </c>
      <c r="X56" s="340">
        <v>1</v>
      </c>
      <c r="Y56" s="328">
        <f t="shared" si="102"/>
        <v>1885.9285714285713</v>
      </c>
      <c r="Z56" s="328">
        <f t="shared" si="103"/>
        <v>9429.6428571428569</v>
      </c>
      <c r="AA56" s="328">
        <f t="shared" si="104"/>
        <v>47148.21428571429</v>
      </c>
      <c r="AB56" s="371">
        <f t="shared" si="105"/>
        <v>43376.357142857145</v>
      </c>
      <c r="AC56" s="339">
        <f t="shared" si="91"/>
        <v>121.5</v>
      </c>
      <c r="AD56" s="325">
        <f t="shared" si="13"/>
        <v>122.75</v>
      </c>
      <c r="AE56" s="339">
        <f t="shared" si="92"/>
        <v>128.5</v>
      </c>
      <c r="AF56" s="325">
        <f t="shared" si="15"/>
        <v>121.75</v>
      </c>
      <c r="AG56" s="338">
        <f t="shared" si="93"/>
        <v>-8.3333333333333329E-2</v>
      </c>
      <c r="AI56" s="443"/>
      <c r="AJ56" s="443"/>
      <c r="AK56" s="443"/>
      <c r="AL56" s="443"/>
      <c r="AM56" s="443"/>
      <c r="AN56" s="443"/>
      <c r="AO56" s="443"/>
      <c r="AP56" s="443"/>
      <c r="AQ56" s="443"/>
    </row>
    <row r="57" spans="2:43">
      <c r="B57" s="358" t="s">
        <v>1384</v>
      </c>
      <c r="C57" s="333">
        <v>121</v>
      </c>
      <c r="D57" s="333">
        <v>8</v>
      </c>
      <c r="E57" s="342">
        <v>0</v>
      </c>
      <c r="G57" s="351" t="s">
        <v>888</v>
      </c>
      <c r="H57" s="333">
        <v>7</v>
      </c>
      <c r="I57" s="325">
        <f>C57+H57</f>
        <v>128</v>
      </c>
      <c r="L57" s="677">
        <v>73835</v>
      </c>
      <c r="N57" s="328">
        <f>L57-L57*E57</f>
        <v>73835</v>
      </c>
      <c r="O57" s="328">
        <f>N57/H57/12</f>
        <v>878.9880952380953</v>
      </c>
      <c r="P57" s="328">
        <f t="shared" si="82"/>
        <v>10547.857142857143</v>
      </c>
      <c r="Q57" s="325">
        <f>IF(M57=0,0,IF(AND(AG57&gt;=AF57,AG57&lt;=AE57),((AG57-AF57)*12)*O57,0))</f>
        <v>0</v>
      </c>
      <c r="R57" s="328">
        <f>IF(Q57&gt;0,Q57,P57)</f>
        <v>10547.857142857143</v>
      </c>
      <c r="S57" s="340">
        <v>1</v>
      </c>
      <c r="T57" s="328">
        <f>S57*SUM(P57:Q57)</f>
        <v>10547.857142857143</v>
      </c>
      <c r="V57" s="328">
        <f>IF(AC57&gt;AD57,0,IF(AE57&lt;AF57,N57,IF(AND(AE57&gt;=AF57,AE57&lt;=AD57),(N57-R57),IF(AND(AF57&lt;=AC57,AD57&gt;=AC57),0,IF(AE57&gt;AD57,((AF57-AC57)*12)*O57,0)))))</f>
        <v>1757.9761904762406</v>
      </c>
      <c r="W57" s="328">
        <f>V57*S57</f>
        <v>1757.9761904762406</v>
      </c>
      <c r="X57" s="340">
        <v>1</v>
      </c>
      <c r="Y57" s="328">
        <f>W57*X57</f>
        <v>1757.9761904762406</v>
      </c>
      <c r="Z57" s="328">
        <f>IF(M57&gt;0,0,Y57+T57*X57)*X57</f>
        <v>12305.833333333383</v>
      </c>
      <c r="AA57" s="328">
        <f>IF(M57&gt;0,(L57-Y57)/2,IF(AC57&gt;=AF57,(((L57*S57)*X57)-Z57)/2,((((L57*S57)*X57)-Y57)+(((L57*S57)*X57)-Z57))/2))</f>
        <v>66803.095238095179</v>
      </c>
      <c r="AB57" s="371">
        <f>L57-Z57</f>
        <v>61529.166666666613</v>
      </c>
      <c r="AC57" s="339">
        <f t="shared" si="91"/>
        <v>121.58333333333333</v>
      </c>
      <c r="AD57" s="325">
        <f t="shared" si="13"/>
        <v>122.75</v>
      </c>
      <c r="AE57" s="339">
        <f t="shared" si="92"/>
        <v>128.58333333333334</v>
      </c>
      <c r="AF57" s="325">
        <f t="shared" si="15"/>
        <v>121.75</v>
      </c>
      <c r="AG57" s="338">
        <f t="shared" si="93"/>
        <v>-8.3333333333333329E-2</v>
      </c>
      <c r="AI57" s="443"/>
      <c r="AJ57" s="443"/>
      <c r="AK57" s="443"/>
      <c r="AL57" s="443"/>
      <c r="AM57" s="443"/>
      <c r="AN57" s="443"/>
      <c r="AO57" s="443"/>
      <c r="AP57" s="443"/>
      <c r="AQ57" s="443"/>
    </row>
    <row r="58" spans="2:43">
      <c r="I58" s="330"/>
      <c r="L58" s="328"/>
      <c r="N58" s="328"/>
      <c r="P58" s="680"/>
      <c r="Q58" s="353"/>
      <c r="R58" s="352"/>
      <c r="T58" s="329"/>
      <c r="Y58" s="328"/>
      <c r="Z58" s="328"/>
      <c r="AA58" s="328"/>
      <c r="AB58" s="328"/>
      <c r="AI58" s="443"/>
      <c r="AJ58" s="443"/>
      <c r="AK58" s="443"/>
      <c r="AL58" s="443"/>
      <c r="AM58" s="443"/>
      <c r="AN58" s="443"/>
      <c r="AO58" s="443"/>
      <c r="AP58" s="443"/>
      <c r="AQ58" s="443"/>
    </row>
    <row r="59" spans="2:43" ht="16.5" thickBot="1">
      <c r="L59" s="407">
        <f>SUM(L40:L57)</f>
        <v>299340.77500000002</v>
      </c>
      <c r="N59" s="328">
        <f>SUM(N40:N58)</f>
        <v>299340.77500000002</v>
      </c>
      <c r="P59" s="328">
        <f>SUM(P40:P58)</f>
        <v>27933.142857142855</v>
      </c>
      <c r="Q59" s="325">
        <f>SUM(Q40:Q58)</f>
        <v>0</v>
      </c>
      <c r="R59" s="681">
        <f>SUM(R40:R58)</f>
        <v>27933.142857142855</v>
      </c>
      <c r="T59" s="354">
        <f>SUM(T40:T58)</f>
        <v>27933.142857142855</v>
      </c>
      <c r="V59" s="328">
        <f>SUM(V40:V58)</f>
        <v>132560.22738095236</v>
      </c>
      <c r="W59" s="328">
        <f>SUM(W40:W58)</f>
        <v>132560.22738095236</v>
      </c>
      <c r="Y59" s="328">
        <f>SUM(Y40:Y58)</f>
        <v>132560.22738095236</v>
      </c>
      <c r="Z59" s="328">
        <f>SUM(Z40:Z58)</f>
        <v>160493.37023809523</v>
      </c>
      <c r="AA59" s="354">
        <f>SUM(AA40:AA58)</f>
        <v>152813.97619047618</v>
      </c>
      <c r="AB59" s="354">
        <f>SUM(AB40:AB58)</f>
        <v>138847.40476190473</v>
      </c>
      <c r="AI59" s="443"/>
      <c r="AJ59" s="443"/>
      <c r="AK59" s="443"/>
      <c r="AL59" s="443"/>
      <c r="AM59" s="443"/>
      <c r="AN59" s="443"/>
      <c r="AO59" s="443"/>
      <c r="AP59" s="443"/>
      <c r="AQ59" s="443"/>
    </row>
    <row r="60" spans="2:43" ht="16.5" thickTop="1">
      <c r="I60" s="330" t="s">
        <v>886</v>
      </c>
      <c r="L60" s="697">
        <f>SUM(L40:L57)</f>
        <v>299340.77500000002</v>
      </c>
      <c r="N60" s="328"/>
      <c r="P60" s="357"/>
      <c r="R60" s="328"/>
      <c r="T60" s="329"/>
      <c r="Y60" s="328"/>
      <c r="Z60" s="328"/>
      <c r="AA60" s="328"/>
      <c r="AB60" s="328"/>
      <c r="AI60" s="443"/>
      <c r="AJ60" s="443"/>
      <c r="AK60" s="443"/>
      <c r="AL60" s="443"/>
      <c r="AM60" s="443"/>
      <c r="AN60" s="443"/>
      <c r="AO60" s="443"/>
      <c r="AP60" s="443"/>
      <c r="AQ60" s="443"/>
    </row>
    <row r="61" spans="2:43">
      <c r="I61" s="330"/>
      <c r="L61" s="328"/>
      <c r="N61" s="328"/>
      <c r="P61" s="357"/>
      <c r="R61" s="328"/>
      <c r="T61" s="329"/>
      <c r="Y61" s="328"/>
      <c r="Z61" s="328"/>
      <c r="AA61" s="328"/>
      <c r="AB61" s="328"/>
      <c r="AI61" s="443"/>
      <c r="AJ61" s="443"/>
      <c r="AK61" s="443"/>
      <c r="AL61" s="443"/>
      <c r="AM61" s="443"/>
      <c r="AN61" s="443"/>
      <c r="AO61" s="443"/>
      <c r="AP61" s="443"/>
      <c r="AQ61" s="443"/>
    </row>
    <row r="62" spans="2:43">
      <c r="B62" s="333" t="s">
        <v>1043</v>
      </c>
      <c r="I62" s="330"/>
      <c r="L62" s="328"/>
      <c r="N62" s="328"/>
      <c r="R62" s="328"/>
      <c r="T62" s="329"/>
      <c r="Y62" s="328"/>
      <c r="Z62" s="328"/>
      <c r="AB62" s="370"/>
      <c r="AI62" s="443"/>
      <c r="AJ62" s="443"/>
      <c r="AK62" s="443"/>
      <c r="AL62" s="443"/>
      <c r="AM62" s="443"/>
      <c r="AN62" s="443"/>
      <c r="AO62" s="443"/>
      <c r="AP62" s="443"/>
      <c r="AQ62" s="443"/>
    </row>
    <row r="63" spans="2:43" ht="16.5" customHeight="1">
      <c r="B63" s="333" t="s">
        <v>1042</v>
      </c>
      <c r="C63" s="333">
        <v>105</v>
      </c>
      <c r="D63" s="333">
        <v>2</v>
      </c>
      <c r="E63" s="342">
        <v>0</v>
      </c>
      <c r="G63" s="351" t="s">
        <v>888</v>
      </c>
      <c r="H63" s="325">
        <v>7</v>
      </c>
      <c r="I63" s="325">
        <f>C63+H63</f>
        <v>112</v>
      </c>
      <c r="L63" s="331">
        <v>11644.6</v>
      </c>
      <c r="N63" s="328">
        <f>L63-L63*E63</f>
        <v>11644.6</v>
      </c>
      <c r="O63" s="328">
        <f>N63/H63/12</f>
        <v>138.62619047619049</v>
      </c>
      <c r="P63" s="328">
        <f>IF(M63&gt;0,0,IF(OR(AC63&gt;AD63,AE63&lt;AF63),0,IF(AND(AE63&gt;=AF63,AE63&lt;=AD63),O63*((AE63-AF63)*12),IF(AND(AF63&lt;=AC63,AD63&gt;=AC63),((AD63-AC63)*12)*O63,IF(AE63&gt;AD63,12*O63,0)))))</f>
        <v>0</v>
      </c>
      <c r="Q63" s="325">
        <f>IF(M63=0,0,IF(AND(AG63&gt;=AF63,AG63&lt;=AE63),((AG63-AF63)*12)*O63,0))</f>
        <v>0</v>
      </c>
      <c r="R63" s="328">
        <f>IF(Q63&gt;0,Q63,P63)</f>
        <v>0</v>
      </c>
      <c r="S63" s="340">
        <v>1</v>
      </c>
      <c r="T63" s="328">
        <f>S63*SUM(P63:Q63)</f>
        <v>0</v>
      </c>
      <c r="V63" s="328">
        <f>IF(AC63&gt;AD63,0,IF(AE63&lt;AF63,N63,IF(AND(AE63&gt;=AF63,AE63&lt;=AD63),(N63-R63),IF(AND(AF63&lt;=AC63,AD63&gt;=AC63),0,IF(AE63&gt;AD63,((AF63-AC63)*12)*O63,0)))))</f>
        <v>11644.6</v>
      </c>
      <c r="W63" s="328">
        <f>V63*S63</f>
        <v>11644.6</v>
      </c>
      <c r="X63" s="340">
        <v>1</v>
      </c>
      <c r="Y63" s="328">
        <f>W63*X63</f>
        <v>11644.6</v>
      </c>
      <c r="Z63" s="328">
        <f>IF(M63&gt;0,0,Y63+T63*X63)*X63</f>
        <v>11644.6</v>
      </c>
      <c r="AA63" s="371">
        <f>IF(M63&gt;0,(L63-Y63)/2,IF(AC63&gt;=AF63,(((L63*S63)*X63)-Z63)/2,((((L63*S63)*X63)-Y63)+(((L63*S63)*X63)-Z63))/2))</f>
        <v>0</v>
      </c>
      <c r="AB63" s="371">
        <f>L63-Z63</f>
        <v>0</v>
      </c>
      <c r="AC63" s="339">
        <f>$C63+(($D63-1)/12)</f>
        <v>105.08333333333333</v>
      </c>
      <c r="AD63" s="325">
        <f>($N$5+1)-($N$2/12)</f>
        <v>122.75</v>
      </c>
      <c r="AE63" s="339">
        <f>$I63+(($D63-1)/12)</f>
        <v>112.08333333333333</v>
      </c>
      <c r="AF63" s="325">
        <f>$N$4+($N$3/12)</f>
        <v>121.75</v>
      </c>
      <c r="AG63" s="338">
        <f>$J63+(($K63-1)/12)</f>
        <v>-8.3333333333333329E-2</v>
      </c>
      <c r="AI63" s="443"/>
      <c r="AJ63" s="443"/>
      <c r="AK63" s="443"/>
      <c r="AL63" s="443"/>
      <c r="AM63" s="443"/>
      <c r="AN63" s="443"/>
      <c r="AO63" s="443"/>
      <c r="AP63" s="443"/>
      <c r="AQ63" s="443"/>
    </row>
    <row r="64" spans="2:43" ht="16.5" customHeight="1">
      <c r="B64" s="408" t="s">
        <v>1145</v>
      </c>
      <c r="C64" s="333">
        <v>118</v>
      </c>
      <c r="D64" s="333">
        <v>1</v>
      </c>
      <c r="E64" s="342">
        <v>0</v>
      </c>
      <c r="G64" s="351" t="s">
        <v>888</v>
      </c>
      <c r="H64" s="325">
        <v>3</v>
      </c>
      <c r="I64" s="325">
        <f>C64+H64</f>
        <v>121</v>
      </c>
      <c r="L64" s="331">
        <v>5735.4000000000015</v>
      </c>
      <c r="N64" s="328">
        <f>L64-L64*E64</f>
        <v>5735.4000000000015</v>
      </c>
      <c r="O64" s="328">
        <f>N64/H64/12</f>
        <v>159.31666666666669</v>
      </c>
      <c r="P64" s="328">
        <f>IF(M64&gt;0,0,IF(OR(AC64&gt;AD64,AE64&lt;AF64),0,IF(AND(AE64&gt;=AF64,AE64&lt;=AD64),O64*((AE64-AF64)*12),IF(AND(AF64&lt;=AC64,AD64&gt;=AC64),((AD64-AC64)*12)*O64,IF(AE64&gt;AD64,12*O64,0)))))</f>
        <v>0</v>
      </c>
      <c r="Q64" s="325">
        <f>IF(M64=0,0,IF(AND(AG64&gt;=AF64,AG64&lt;=AE64),((AG64-AF64)*12)*O64,0))</f>
        <v>0</v>
      </c>
      <c r="R64" s="328">
        <f>IF(Q64&gt;0,Q64,P64)</f>
        <v>0</v>
      </c>
      <c r="S64" s="340">
        <v>1</v>
      </c>
      <c r="T64" s="328">
        <f>S64*SUM(P64:Q64)</f>
        <v>0</v>
      </c>
      <c r="V64" s="328">
        <f>IF(AC64&gt;AD64,0,IF(AE64&lt;AF64,N64,IF(AND(AE64&gt;=AF64,AE64&lt;=AD64),(N64-R64),IF(AND(AF64&lt;=AC64,AD64&gt;=AC64),0,IF(AE64&gt;AD64,((AF64-AC64)*12)*O64,0)))))</f>
        <v>5735.4000000000015</v>
      </c>
      <c r="W64" s="328">
        <f>V64*S64</f>
        <v>5735.4000000000015</v>
      </c>
      <c r="X64" s="340">
        <v>1</v>
      </c>
      <c r="Y64" s="328">
        <f>W64*X64</f>
        <v>5735.4000000000015</v>
      </c>
      <c r="Z64" s="328">
        <f>IF(M64&gt;0,0,Y64+T64*X64)*X64</f>
        <v>5735.4000000000015</v>
      </c>
      <c r="AA64" s="371">
        <f>IF(M64&gt;0,(L64-Y64)/2,IF(AC64&gt;=AF64,(((L64*S64)*X64)-Z64)/2,((((L64*S64)*X64)-Y64)+(((L64*S64)*X64)-Z64))/2))</f>
        <v>0</v>
      </c>
      <c r="AB64" s="371">
        <f>L64-Z64</f>
        <v>0</v>
      </c>
      <c r="AC64" s="339">
        <f>$C64+(($D64-1)/12)</f>
        <v>118</v>
      </c>
      <c r="AD64" s="325">
        <f>($N$5+1)-($N$2/12)</f>
        <v>122.75</v>
      </c>
      <c r="AE64" s="339">
        <f>$I64+(($D64-1)/12)</f>
        <v>121</v>
      </c>
      <c r="AF64" s="325">
        <f>$N$4+($N$3/12)</f>
        <v>121.75</v>
      </c>
      <c r="AG64" s="338">
        <f>$J64+(($K64-1)/12)</f>
        <v>-8.3333333333333329E-2</v>
      </c>
      <c r="AI64" s="443"/>
      <c r="AJ64" s="443"/>
      <c r="AK64" s="443"/>
      <c r="AL64" s="443"/>
      <c r="AM64" s="443"/>
      <c r="AN64" s="443"/>
      <c r="AO64" s="443"/>
      <c r="AP64" s="443"/>
      <c r="AQ64" s="443"/>
    </row>
    <row r="65" spans="1:43" ht="16.5" customHeight="1">
      <c r="B65" s="333" t="s">
        <v>1041</v>
      </c>
      <c r="C65" s="415">
        <v>112</v>
      </c>
      <c r="D65" s="415">
        <v>12</v>
      </c>
      <c r="E65" s="416">
        <v>0</v>
      </c>
      <c r="F65" s="337"/>
      <c r="G65" s="351" t="s">
        <v>888</v>
      </c>
      <c r="H65" s="337">
        <v>7</v>
      </c>
      <c r="I65" s="325">
        <f>C65+H65</f>
        <v>119</v>
      </c>
      <c r="J65" s="337"/>
      <c r="K65" s="337"/>
      <c r="L65" s="693">
        <v>176919</v>
      </c>
      <c r="M65" s="337"/>
      <c r="N65" s="694">
        <f>L65-L65*E65</f>
        <v>176919</v>
      </c>
      <c r="O65" s="694">
        <f>N65/H65/12</f>
        <v>2106.1785714285716</v>
      </c>
      <c r="P65" s="694">
        <f>IF(M65&gt;0,0,IF(OR(AC65&gt;AD65,AE65&lt;AF65),0,IF(AND(AE65&gt;=AF65,AE65&lt;=AD65),O65*((AE65-AF65)*12),IF(AND(AF65&lt;=AC65,AD65&gt;=AC65),((AD65-AC65)*12)*O65,IF(AE65&gt;AD65,12*O65,0)))))</f>
        <v>0</v>
      </c>
      <c r="Q65" s="337">
        <f>IF(M65=0,0,IF(AND(AG65&gt;=AF65,AG65&lt;=AE65),((AG65-AF65)*12)*O65,0))</f>
        <v>0</v>
      </c>
      <c r="R65" s="694">
        <f>IF(Q65&gt;0,Q65,P65)</f>
        <v>0</v>
      </c>
      <c r="S65" s="695">
        <v>1</v>
      </c>
      <c r="T65" s="694">
        <f>S65*SUM(P65:Q65)</f>
        <v>0</v>
      </c>
      <c r="U65" s="337"/>
      <c r="V65" s="694">
        <f>IF(AC65&gt;AD65,0,IF(AE65&lt;AF65,N65,IF(AND(AE65&gt;=AF65,AE65&lt;=AD65),(N65-R65),IF(AND(AF65&lt;=AC65,AD65&gt;=AC65),0,IF(AE65&gt;AD65,((AF65-AC65)*12)*O65,0)))))</f>
        <v>176919</v>
      </c>
      <c r="W65" s="694">
        <f>V65*S65</f>
        <v>176919</v>
      </c>
      <c r="X65" s="695">
        <v>1</v>
      </c>
      <c r="Y65" s="694">
        <f>W65*X65</f>
        <v>176919</v>
      </c>
      <c r="Z65" s="694">
        <f>IF(M65&gt;0,0,Y65+T65*X65)*X65</f>
        <v>176919</v>
      </c>
      <c r="AA65" s="696">
        <f>IF(M65&gt;0,(L65-Y65)/2,IF(AC65&gt;=AF65,(((L65*S65)*X65)-Z65)/2,((((L65*S65)*X65)-Y65)+(((L65*S65)*X65)-Z65))/2))</f>
        <v>0</v>
      </c>
      <c r="AB65" s="696">
        <f>L65-Z65</f>
        <v>0</v>
      </c>
      <c r="AC65" s="339">
        <f>$C65+(($D65-1)/12)</f>
        <v>112.91666666666667</v>
      </c>
      <c r="AD65" s="325">
        <f>($N$5+1)-($N$2/12)</f>
        <v>122.75</v>
      </c>
      <c r="AE65" s="339">
        <f>$I65+(($D65-1)/12)</f>
        <v>119.91666666666667</v>
      </c>
      <c r="AF65" s="325">
        <f>$N$4+($N$3/12)</f>
        <v>121.75</v>
      </c>
      <c r="AG65" s="338">
        <f>$J65+(($K65-1)/12)</f>
        <v>-8.3333333333333329E-2</v>
      </c>
      <c r="AI65" s="443"/>
      <c r="AJ65" s="443"/>
      <c r="AK65" s="443"/>
      <c r="AL65" s="692"/>
      <c r="AM65" s="692"/>
      <c r="AN65" s="692"/>
      <c r="AO65" s="692"/>
      <c r="AP65" s="692"/>
      <c r="AQ65" s="443"/>
    </row>
    <row r="66" spans="1:43">
      <c r="A66" s="413"/>
      <c r="B66" s="358" t="s">
        <v>1382</v>
      </c>
      <c r="C66" s="333">
        <v>121</v>
      </c>
      <c r="D66" s="333">
        <v>9</v>
      </c>
      <c r="E66" s="342">
        <v>0</v>
      </c>
      <c r="G66" s="351" t="s">
        <v>888</v>
      </c>
      <c r="H66" s="333">
        <v>7</v>
      </c>
      <c r="I66" s="325">
        <f t="shared" ref="I66" si="107">C66+H66</f>
        <v>128</v>
      </c>
      <c r="L66" s="677">
        <v>5277</v>
      </c>
      <c r="N66" s="328">
        <f t="shared" ref="N66" si="108">L66-L66*E66</f>
        <v>5277</v>
      </c>
      <c r="O66" s="328">
        <f>N66/H66/12</f>
        <v>62.821428571428577</v>
      </c>
      <c r="P66" s="328">
        <f t="shared" ref="P66" si="109">IF(M66&gt;0,0,IF(OR(AC66&gt;AD66,AE66&lt;AF66),0,IF(AND(AE66&gt;=AF66,AE66&lt;=AD66),O66*((AE66-AF66)*12),IF(AND(AF66&lt;=AC66,AD66&gt;=AC66),((AD66-AC66)*12)*O66,IF(AE66&gt;AD66,12*O66,0)))))</f>
        <v>753.85714285714289</v>
      </c>
      <c r="Q66" s="325">
        <f t="shared" ref="Q66" si="110">IF(M66=0,0,IF(AND(AG66&gt;=AF66,AG66&lt;=AE66),((AG66-AF66)*12)*O66,0))</f>
        <v>0</v>
      </c>
      <c r="R66" s="328">
        <f t="shared" ref="R66" si="111">IF(Q66&gt;0,Q66,P66)</f>
        <v>753.85714285714289</v>
      </c>
      <c r="S66" s="340">
        <v>1</v>
      </c>
      <c r="T66" s="328">
        <f t="shared" ref="T66" si="112">S66*SUM(P66:Q66)</f>
        <v>753.85714285714289</v>
      </c>
      <c r="V66" s="328">
        <f t="shared" ref="V66" si="113">IF(AC66&gt;AD66,0,IF(AE66&lt;AF66,N66,IF(AND(AE66&gt;=AF66,AE66&lt;=AD66),(N66-R66),IF(AND(AF66&lt;=AC66,AD66&gt;=AC66),0,IF(AE66&gt;AD66,((AF66-AC66)*12)*O66,0)))))</f>
        <v>62.821428571425002</v>
      </c>
      <c r="W66" s="328">
        <f t="shared" ref="W66" si="114">V66*S66</f>
        <v>62.821428571425002</v>
      </c>
      <c r="X66" s="340">
        <v>1</v>
      </c>
      <c r="Y66" s="328">
        <f t="shared" ref="Y66" si="115">W66*X66</f>
        <v>62.821428571425002</v>
      </c>
      <c r="Z66" s="328">
        <f t="shared" ref="Z66" si="116">IF(M66&gt;0,0,Y66+T66*X66)*X66</f>
        <v>816.67857142856792</v>
      </c>
      <c r="AA66" s="328">
        <f t="shared" ref="AA66" si="117">IF(M66&gt;0,(L66-Y66)/2,IF(AC66&gt;=AF66,(((L66*S66)*X66)-Z66)/2,((((L66*S66)*X66)-Y66)+(((L66*S66)*X66)-Z66))/2))</f>
        <v>4837.2500000000036</v>
      </c>
      <c r="AB66" s="371">
        <f t="shared" ref="AB66" si="118">L66-Z66</f>
        <v>4460.3214285714321</v>
      </c>
      <c r="AC66" s="339">
        <f t="shared" ref="AC66" si="119">$C66+(($D66-1)/12)</f>
        <v>121.66666666666667</v>
      </c>
      <c r="AD66" s="325">
        <f t="shared" ref="AD66" si="120">($N$5+1)-($N$2/12)</f>
        <v>122.75</v>
      </c>
      <c r="AE66" s="339">
        <f t="shared" ref="AE66" si="121">$I66+(($D66-1)/12)</f>
        <v>128.66666666666666</v>
      </c>
      <c r="AF66" s="325">
        <f t="shared" ref="AF66" si="122">$N$4+($N$3/12)</f>
        <v>121.75</v>
      </c>
      <c r="AG66" s="338">
        <f t="shared" ref="AG66" si="123">$J66+(($K66-1)/12)</f>
        <v>-8.3333333333333329E-2</v>
      </c>
      <c r="AI66" s="443"/>
      <c r="AJ66" s="443"/>
      <c r="AK66" s="443"/>
      <c r="AL66" s="692"/>
      <c r="AM66" s="692"/>
      <c r="AN66" s="692"/>
      <c r="AO66" s="692"/>
      <c r="AP66" s="692"/>
      <c r="AQ66" s="692"/>
    </row>
    <row r="67" spans="1:43">
      <c r="I67" s="330"/>
      <c r="L67" s="328"/>
      <c r="N67" s="328"/>
      <c r="R67" s="328"/>
      <c r="Y67" s="328"/>
      <c r="Z67" s="328"/>
      <c r="AI67" s="443"/>
      <c r="AJ67" s="443"/>
      <c r="AK67" s="443"/>
      <c r="AL67" s="443"/>
      <c r="AM67" s="443"/>
      <c r="AN67" s="443"/>
      <c r="AO67" s="443"/>
      <c r="AP67" s="443"/>
      <c r="AQ67" s="443"/>
    </row>
    <row r="68" spans="1:43" ht="16.5" thickBot="1">
      <c r="B68" s="333" t="s">
        <v>1040</v>
      </c>
      <c r="I68" s="330"/>
      <c r="L68" s="336">
        <f>SUM(L63:L66)</f>
        <v>199576</v>
      </c>
      <c r="N68" s="328">
        <f>SUM(N63:N66)</f>
        <v>199576</v>
      </c>
      <c r="P68" s="679">
        <f t="shared" ref="P68:Q68" si="124">SUM(P63:P66)</f>
        <v>753.85714285714289</v>
      </c>
      <c r="Q68" s="679">
        <f t="shared" si="124"/>
        <v>0</v>
      </c>
      <c r="R68" s="343">
        <f>SUM(R63:R66)</f>
        <v>753.85714285714289</v>
      </c>
      <c r="T68" s="335">
        <f>SUM(T63:T66)</f>
        <v>753.85714285714289</v>
      </c>
      <c r="V68" s="328">
        <f>SUM(V63:V66)</f>
        <v>194361.82142857142</v>
      </c>
      <c r="W68" s="328">
        <f>SUM(W63:W66)</f>
        <v>194361.82142857142</v>
      </c>
      <c r="Y68" s="328">
        <f>SUM(Y63:Y66)</f>
        <v>194361.82142857142</v>
      </c>
      <c r="Z68" s="328">
        <f>SUM(Z63:Z66)</f>
        <v>195115.67857142858</v>
      </c>
      <c r="AA68" s="335">
        <f>SUM(AA63:AA66)</f>
        <v>4837.2500000000036</v>
      </c>
      <c r="AB68" s="335">
        <f>SUM(AB63:AB66)</f>
        <v>4460.3214285714321</v>
      </c>
      <c r="AL68" s="447"/>
      <c r="AM68" s="447"/>
      <c r="AN68" s="447"/>
      <c r="AO68" s="447"/>
      <c r="AP68" s="447"/>
      <c r="AQ68" s="447"/>
    </row>
    <row r="69" spans="1:43" ht="16.5" thickTop="1">
      <c r="B69" s="333"/>
      <c r="I69" s="330" t="s">
        <v>886</v>
      </c>
      <c r="L69" s="334">
        <f>SUM(L63:L66)</f>
        <v>199576</v>
      </c>
      <c r="N69" s="328"/>
      <c r="R69" s="328"/>
      <c r="T69" s="329"/>
      <c r="Y69" s="328"/>
      <c r="Z69" s="328"/>
      <c r="AA69" s="329"/>
      <c r="AB69" s="329"/>
      <c r="AL69" s="448"/>
      <c r="AM69" s="448"/>
      <c r="AN69" s="448"/>
      <c r="AO69" s="448"/>
      <c r="AP69" s="448"/>
      <c r="AQ69" s="448"/>
    </row>
    <row r="70" spans="1:43">
      <c r="B70" s="333" t="s">
        <v>1039</v>
      </c>
      <c r="I70" s="330"/>
      <c r="L70" s="328"/>
      <c r="N70" s="328"/>
      <c r="R70" s="328"/>
      <c r="T70" s="329"/>
      <c r="Y70" s="328"/>
      <c r="Z70" s="328"/>
      <c r="AA70" s="329"/>
      <c r="AB70" s="329"/>
    </row>
    <row r="71" spans="1:43">
      <c r="B71" s="333" t="s">
        <v>1038</v>
      </c>
      <c r="C71" s="333">
        <v>81</v>
      </c>
      <c r="D71" s="333">
        <v>4</v>
      </c>
      <c r="E71" s="342">
        <v>0</v>
      </c>
      <c r="G71" s="351" t="s">
        <v>888</v>
      </c>
      <c r="H71" s="333">
        <v>10</v>
      </c>
      <c r="I71" s="325">
        <f t="shared" ref="I71:I102" si="125">C71+H71</f>
        <v>91</v>
      </c>
      <c r="L71" s="331">
        <v>7384</v>
      </c>
      <c r="N71" s="328">
        <f t="shared" ref="N71:N102" si="126">L71-L71*E71</f>
        <v>7384</v>
      </c>
      <c r="O71" s="328">
        <f t="shared" ref="O71:O102" si="127">N71/H71/12</f>
        <v>61.533333333333331</v>
      </c>
      <c r="P71" s="328">
        <f t="shared" ref="P71:P102" si="128">IF(M71&gt;0,0,IF(OR(AC71&gt;AD71,AE71&lt;AF71),0,IF(AND(AE71&gt;=AF71,AE71&lt;=AD71),O71*((AE71-AF71)*12),IF(AND(AF71&lt;=AC71,AD71&gt;=AC71),((AD71-AC71)*12)*O71,IF(AE71&gt;AD71,12*O71,0)))))</f>
        <v>0</v>
      </c>
      <c r="Q71" s="325">
        <f t="shared" ref="Q71:Q102" si="129">IF(M71=0,0,IF(AND(AG71&gt;=AF71,AG71&lt;=AE71),((AG71-AF71)*12)*O71,0))</f>
        <v>0</v>
      </c>
      <c r="R71" s="328">
        <f t="shared" ref="R71:R102" si="130">IF(Q71&gt;0,Q71,P71)</f>
        <v>0</v>
      </c>
      <c r="S71" s="340">
        <v>1</v>
      </c>
      <c r="T71" s="328">
        <f t="shared" ref="T71:T102" si="131">S71*SUM(P71:Q71)</f>
        <v>0</v>
      </c>
      <c r="V71" s="328">
        <f t="shared" ref="V71:V102" si="132">IF(AC71&gt;AD71,0,IF(AE71&lt;AF71,N71,IF(AND(AE71&gt;=AF71,AE71&lt;=AD71),(N71-R71),IF(AND(AF71&lt;=AC71,AD71&gt;=AC71),0,IF(AE71&gt;AD71,((AF71-AC71)*12)*O71,0)))))</f>
        <v>7384</v>
      </c>
      <c r="W71" s="328">
        <f t="shared" ref="W71:W102" si="133">V71*S71</f>
        <v>7384</v>
      </c>
      <c r="X71" s="340">
        <v>1</v>
      </c>
      <c r="Y71" s="328">
        <f t="shared" ref="Y71:Y102" si="134">W71*X71</f>
        <v>7384</v>
      </c>
      <c r="Z71" s="328">
        <f t="shared" ref="Z71:Z102" si="135">IF(M71&gt;0,0,Y71+T71*X71)*X71</f>
        <v>7384</v>
      </c>
      <c r="AA71" s="328">
        <f t="shared" ref="AA71:AA102" si="136">IF(M71&gt;0,(L71-Y71)/2,IF(AC71&gt;=AF71,(((L71*S71)*X71)-Z71)/2,((((L71*S71)*X71)-Y71)+(((L71*S71)*X71)-Z71))/2))</f>
        <v>0</v>
      </c>
      <c r="AB71" s="328">
        <f>L71-Z71</f>
        <v>0</v>
      </c>
      <c r="AC71" s="339">
        <f t="shared" ref="AC71:AC102" si="137">$C71+(($D71-1)/12)</f>
        <v>81.25</v>
      </c>
      <c r="AD71" s="325">
        <f t="shared" ref="AD71:AD102" si="138">($N$5+1)-($N$2/12)</f>
        <v>122.75</v>
      </c>
      <c r="AE71" s="339">
        <f t="shared" ref="AE71:AE102" si="139">$I71+(($D71-1)/12)</f>
        <v>91.25</v>
      </c>
      <c r="AF71" s="325">
        <f t="shared" ref="AF71:AF102" si="140">$N$4+($N$3/12)</f>
        <v>121.75</v>
      </c>
      <c r="AG71" s="338">
        <f t="shared" ref="AG71:AG102" si="141">$J71+(($K71-1)/12)</f>
        <v>-8.3333333333333329E-2</v>
      </c>
    </row>
    <row r="72" spans="1:43">
      <c r="B72" s="333" t="s">
        <v>1037</v>
      </c>
      <c r="C72" s="333">
        <v>82</v>
      </c>
      <c r="D72" s="333">
        <v>1</v>
      </c>
      <c r="E72" s="342">
        <v>0</v>
      </c>
      <c r="G72" s="351" t="s">
        <v>888</v>
      </c>
      <c r="H72" s="333">
        <v>10</v>
      </c>
      <c r="I72" s="325">
        <f t="shared" si="125"/>
        <v>92</v>
      </c>
      <c r="L72" s="331">
        <v>583</v>
      </c>
      <c r="N72" s="328">
        <f t="shared" si="126"/>
        <v>583</v>
      </c>
      <c r="O72" s="328">
        <f t="shared" si="127"/>
        <v>4.8583333333333334</v>
      </c>
      <c r="P72" s="328">
        <f t="shared" si="128"/>
        <v>0</v>
      </c>
      <c r="Q72" s="325">
        <f t="shared" si="129"/>
        <v>0</v>
      </c>
      <c r="R72" s="328">
        <f t="shared" si="130"/>
        <v>0</v>
      </c>
      <c r="S72" s="340">
        <v>1</v>
      </c>
      <c r="T72" s="328">
        <f t="shared" si="131"/>
        <v>0</v>
      </c>
      <c r="V72" s="328">
        <f t="shared" si="132"/>
        <v>583</v>
      </c>
      <c r="W72" s="328">
        <f t="shared" si="133"/>
        <v>583</v>
      </c>
      <c r="X72" s="340">
        <v>1</v>
      </c>
      <c r="Y72" s="328">
        <f t="shared" si="134"/>
        <v>583</v>
      </c>
      <c r="Z72" s="328">
        <f t="shared" si="135"/>
        <v>583</v>
      </c>
      <c r="AA72" s="328">
        <f t="shared" si="136"/>
        <v>0</v>
      </c>
      <c r="AB72" s="328">
        <f t="shared" ref="AB72:AB135" si="142">L72-Z72</f>
        <v>0</v>
      </c>
      <c r="AC72" s="339">
        <f t="shared" si="137"/>
        <v>82</v>
      </c>
      <c r="AD72" s="325">
        <f t="shared" si="138"/>
        <v>122.75</v>
      </c>
      <c r="AE72" s="339">
        <f t="shared" si="139"/>
        <v>92</v>
      </c>
      <c r="AF72" s="325">
        <f t="shared" si="140"/>
        <v>121.75</v>
      </c>
      <c r="AG72" s="338">
        <f t="shared" si="141"/>
        <v>-8.3333333333333329E-2</v>
      </c>
    </row>
    <row r="73" spans="1:43">
      <c r="B73" s="333" t="s">
        <v>1037</v>
      </c>
      <c r="C73" s="333">
        <v>83</v>
      </c>
      <c r="D73" s="333">
        <v>1</v>
      </c>
      <c r="E73" s="342">
        <v>0</v>
      </c>
      <c r="G73" s="351" t="s">
        <v>888</v>
      </c>
      <c r="H73" s="333">
        <v>10</v>
      </c>
      <c r="I73" s="325">
        <f t="shared" si="125"/>
        <v>93</v>
      </c>
      <c r="L73" s="331">
        <v>4802</v>
      </c>
      <c r="N73" s="328">
        <f t="shared" si="126"/>
        <v>4802</v>
      </c>
      <c r="O73" s="328">
        <f t="shared" si="127"/>
        <v>40.016666666666666</v>
      </c>
      <c r="P73" s="328">
        <f t="shared" si="128"/>
        <v>0</v>
      </c>
      <c r="Q73" s="325">
        <f t="shared" si="129"/>
        <v>0</v>
      </c>
      <c r="R73" s="328">
        <f t="shared" si="130"/>
        <v>0</v>
      </c>
      <c r="S73" s="340">
        <v>1</v>
      </c>
      <c r="T73" s="328">
        <f t="shared" si="131"/>
        <v>0</v>
      </c>
      <c r="V73" s="328">
        <f t="shared" si="132"/>
        <v>4802</v>
      </c>
      <c r="W73" s="328">
        <f t="shared" si="133"/>
        <v>4802</v>
      </c>
      <c r="X73" s="340">
        <v>1</v>
      </c>
      <c r="Y73" s="328">
        <f t="shared" si="134"/>
        <v>4802</v>
      </c>
      <c r="Z73" s="328">
        <f t="shared" si="135"/>
        <v>4802</v>
      </c>
      <c r="AA73" s="328">
        <f t="shared" si="136"/>
        <v>0</v>
      </c>
      <c r="AB73" s="328">
        <f t="shared" si="142"/>
        <v>0</v>
      </c>
      <c r="AC73" s="339">
        <f t="shared" si="137"/>
        <v>83</v>
      </c>
      <c r="AD73" s="325">
        <f t="shared" si="138"/>
        <v>122.75</v>
      </c>
      <c r="AE73" s="339">
        <f t="shared" si="139"/>
        <v>93</v>
      </c>
      <c r="AF73" s="325">
        <f t="shared" si="140"/>
        <v>121.75</v>
      </c>
      <c r="AG73" s="338">
        <f t="shared" si="141"/>
        <v>-8.3333333333333329E-2</v>
      </c>
    </row>
    <row r="74" spans="1:43">
      <c r="B74" s="333" t="s">
        <v>1036</v>
      </c>
      <c r="C74" s="333">
        <v>84</v>
      </c>
      <c r="D74" s="333">
        <v>11</v>
      </c>
      <c r="E74" s="342">
        <v>0</v>
      </c>
      <c r="G74" s="351" t="s">
        <v>888</v>
      </c>
      <c r="H74" s="333">
        <v>10</v>
      </c>
      <c r="I74" s="325">
        <f t="shared" si="125"/>
        <v>94</v>
      </c>
      <c r="L74" s="331">
        <v>1156</v>
      </c>
      <c r="N74" s="328">
        <f t="shared" si="126"/>
        <v>1156</v>
      </c>
      <c r="O74" s="328">
        <f t="shared" si="127"/>
        <v>9.6333333333333329</v>
      </c>
      <c r="P74" s="328">
        <f t="shared" si="128"/>
        <v>0</v>
      </c>
      <c r="Q74" s="325">
        <f t="shared" si="129"/>
        <v>0</v>
      </c>
      <c r="R74" s="328">
        <f t="shared" si="130"/>
        <v>0</v>
      </c>
      <c r="S74" s="340">
        <v>1</v>
      </c>
      <c r="T74" s="328">
        <f t="shared" si="131"/>
        <v>0</v>
      </c>
      <c r="V74" s="328">
        <f t="shared" si="132"/>
        <v>1156</v>
      </c>
      <c r="W74" s="328">
        <f t="shared" si="133"/>
        <v>1156</v>
      </c>
      <c r="X74" s="340">
        <v>1</v>
      </c>
      <c r="Y74" s="328">
        <f t="shared" si="134"/>
        <v>1156</v>
      </c>
      <c r="Z74" s="328">
        <f t="shared" si="135"/>
        <v>1156</v>
      </c>
      <c r="AA74" s="328">
        <f t="shared" si="136"/>
        <v>0</v>
      </c>
      <c r="AB74" s="328">
        <f t="shared" si="142"/>
        <v>0</v>
      </c>
      <c r="AC74" s="339">
        <f t="shared" si="137"/>
        <v>84.833333333333329</v>
      </c>
      <c r="AD74" s="325">
        <f t="shared" si="138"/>
        <v>122.75</v>
      </c>
      <c r="AE74" s="339">
        <f t="shared" si="139"/>
        <v>94.833333333333329</v>
      </c>
      <c r="AF74" s="325">
        <f t="shared" si="140"/>
        <v>121.75</v>
      </c>
      <c r="AG74" s="338">
        <f t="shared" si="141"/>
        <v>-8.3333333333333329E-2</v>
      </c>
    </row>
    <row r="75" spans="1:43">
      <c r="B75" s="333" t="s">
        <v>1036</v>
      </c>
      <c r="C75" s="333">
        <v>85</v>
      </c>
      <c r="D75" s="333">
        <v>8</v>
      </c>
      <c r="E75" s="342">
        <v>0</v>
      </c>
      <c r="G75" s="351" t="s">
        <v>888</v>
      </c>
      <c r="H75" s="333">
        <v>10</v>
      </c>
      <c r="I75" s="325">
        <f t="shared" si="125"/>
        <v>95</v>
      </c>
      <c r="L75" s="331">
        <v>5454</v>
      </c>
      <c r="N75" s="328">
        <f t="shared" si="126"/>
        <v>5454</v>
      </c>
      <c r="O75" s="328">
        <f t="shared" si="127"/>
        <v>45.449999999999996</v>
      </c>
      <c r="P75" s="328">
        <f t="shared" si="128"/>
        <v>0</v>
      </c>
      <c r="Q75" s="325">
        <f t="shared" si="129"/>
        <v>0</v>
      </c>
      <c r="R75" s="328">
        <f t="shared" si="130"/>
        <v>0</v>
      </c>
      <c r="S75" s="340">
        <v>1</v>
      </c>
      <c r="T75" s="328">
        <f t="shared" si="131"/>
        <v>0</v>
      </c>
      <c r="V75" s="328">
        <f t="shared" si="132"/>
        <v>5454</v>
      </c>
      <c r="W75" s="328">
        <f t="shared" si="133"/>
        <v>5454</v>
      </c>
      <c r="X75" s="340">
        <v>1</v>
      </c>
      <c r="Y75" s="328">
        <f t="shared" si="134"/>
        <v>5454</v>
      </c>
      <c r="Z75" s="328">
        <f t="shared" si="135"/>
        <v>5454</v>
      </c>
      <c r="AA75" s="328">
        <f t="shared" si="136"/>
        <v>0</v>
      </c>
      <c r="AB75" s="328">
        <f t="shared" si="142"/>
        <v>0</v>
      </c>
      <c r="AC75" s="339">
        <f t="shared" si="137"/>
        <v>85.583333333333329</v>
      </c>
      <c r="AD75" s="325">
        <f t="shared" si="138"/>
        <v>122.75</v>
      </c>
      <c r="AE75" s="339">
        <f t="shared" si="139"/>
        <v>95.583333333333329</v>
      </c>
      <c r="AF75" s="325">
        <f t="shared" si="140"/>
        <v>121.75</v>
      </c>
      <c r="AG75" s="338">
        <f t="shared" si="141"/>
        <v>-8.3333333333333329E-2</v>
      </c>
    </row>
    <row r="76" spans="1:43" ht="15" customHeight="1">
      <c r="B76" s="333" t="s">
        <v>1035</v>
      </c>
      <c r="C76" s="333">
        <v>86</v>
      </c>
      <c r="D76" s="333">
        <v>6</v>
      </c>
      <c r="E76" s="342">
        <v>0</v>
      </c>
      <c r="G76" s="351" t="s">
        <v>888</v>
      </c>
      <c r="H76" s="333">
        <v>10</v>
      </c>
      <c r="I76" s="325">
        <f t="shared" si="125"/>
        <v>96</v>
      </c>
      <c r="L76" s="331">
        <v>2857</v>
      </c>
      <c r="N76" s="328">
        <f t="shared" si="126"/>
        <v>2857</v>
      </c>
      <c r="O76" s="328">
        <f t="shared" si="127"/>
        <v>23.808333333333334</v>
      </c>
      <c r="P76" s="328">
        <f t="shared" si="128"/>
        <v>0</v>
      </c>
      <c r="Q76" s="325">
        <f t="shared" si="129"/>
        <v>0</v>
      </c>
      <c r="R76" s="328">
        <f t="shared" si="130"/>
        <v>0</v>
      </c>
      <c r="S76" s="340">
        <v>1</v>
      </c>
      <c r="T76" s="328">
        <f t="shared" si="131"/>
        <v>0</v>
      </c>
      <c r="V76" s="328">
        <f t="shared" si="132"/>
        <v>2857</v>
      </c>
      <c r="W76" s="328">
        <f t="shared" si="133"/>
        <v>2857</v>
      </c>
      <c r="X76" s="340">
        <v>1</v>
      </c>
      <c r="Y76" s="328">
        <f t="shared" si="134"/>
        <v>2857</v>
      </c>
      <c r="Z76" s="328">
        <f t="shared" si="135"/>
        <v>2857</v>
      </c>
      <c r="AA76" s="328">
        <f t="shared" si="136"/>
        <v>0</v>
      </c>
      <c r="AB76" s="328">
        <f t="shared" si="142"/>
        <v>0</v>
      </c>
      <c r="AC76" s="339">
        <f t="shared" si="137"/>
        <v>86.416666666666671</v>
      </c>
      <c r="AD76" s="325">
        <f t="shared" si="138"/>
        <v>122.75</v>
      </c>
      <c r="AE76" s="339">
        <f t="shared" si="139"/>
        <v>96.416666666666671</v>
      </c>
      <c r="AF76" s="325">
        <f t="shared" si="140"/>
        <v>121.75</v>
      </c>
      <c r="AG76" s="338">
        <f t="shared" si="141"/>
        <v>-8.3333333333333329E-2</v>
      </c>
    </row>
    <row r="77" spans="1:43">
      <c r="B77" s="333" t="s">
        <v>1034</v>
      </c>
      <c r="C77" s="333">
        <v>87</v>
      </c>
      <c r="D77" s="333">
        <v>5</v>
      </c>
      <c r="E77" s="342">
        <v>0</v>
      </c>
      <c r="G77" s="351" t="s">
        <v>888</v>
      </c>
      <c r="H77" s="333">
        <v>10</v>
      </c>
      <c r="I77" s="325">
        <f t="shared" si="125"/>
        <v>97</v>
      </c>
      <c r="L77" s="331">
        <v>830</v>
      </c>
      <c r="N77" s="328">
        <f t="shared" si="126"/>
        <v>830</v>
      </c>
      <c r="O77" s="328">
        <f t="shared" si="127"/>
        <v>6.916666666666667</v>
      </c>
      <c r="P77" s="328">
        <f t="shared" si="128"/>
        <v>0</v>
      </c>
      <c r="Q77" s="325">
        <f t="shared" si="129"/>
        <v>0</v>
      </c>
      <c r="R77" s="328">
        <f t="shared" si="130"/>
        <v>0</v>
      </c>
      <c r="S77" s="340">
        <v>1</v>
      </c>
      <c r="T77" s="328">
        <f t="shared" si="131"/>
        <v>0</v>
      </c>
      <c r="V77" s="328">
        <f t="shared" si="132"/>
        <v>830</v>
      </c>
      <c r="W77" s="328">
        <f t="shared" si="133"/>
        <v>830</v>
      </c>
      <c r="X77" s="340">
        <v>1</v>
      </c>
      <c r="Y77" s="328">
        <f t="shared" si="134"/>
        <v>830</v>
      </c>
      <c r="Z77" s="328">
        <f t="shared" si="135"/>
        <v>830</v>
      </c>
      <c r="AA77" s="328">
        <f t="shared" si="136"/>
        <v>0</v>
      </c>
      <c r="AB77" s="328">
        <f t="shared" si="142"/>
        <v>0</v>
      </c>
      <c r="AC77" s="339">
        <f t="shared" si="137"/>
        <v>87.333333333333329</v>
      </c>
      <c r="AD77" s="325">
        <f t="shared" si="138"/>
        <v>122.75</v>
      </c>
      <c r="AE77" s="339">
        <f t="shared" si="139"/>
        <v>97.333333333333329</v>
      </c>
      <c r="AF77" s="325">
        <f t="shared" si="140"/>
        <v>121.75</v>
      </c>
      <c r="AG77" s="338">
        <f t="shared" si="141"/>
        <v>-8.3333333333333329E-2</v>
      </c>
    </row>
    <row r="78" spans="1:43">
      <c r="B78" s="333" t="s">
        <v>1033</v>
      </c>
      <c r="C78" s="333">
        <v>87</v>
      </c>
      <c r="D78" s="333">
        <v>5</v>
      </c>
      <c r="E78" s="342">
        <v>0</v>
      </c>
      <c r="G78" s="351" t="s">
        <v>888</v>
      </c>
      <c r="H78" s="333">
        <v>10</v>
      </c>
      <c r="I78" s="325">
        <f t="shared" si="125"/>
        <v>97</v>
      </c>
      <c r="L78" s="331">
        <v>4312</v>
      </c>
      <c r="N78" s="328">
        <f t="shared" si="126"/>
        <v>4312</v>
      </c>
      <c r="O78" s="328">
        <f t="shared" si="127"/>
        <v>35.93333333333333</v>
      </c>
      <c r="P78" s="328">
        <f t="shared" si="128"/>
        <v>0</v>
      </c>
      <c r="Q78" s="325">
        <f t="shared" si="129"/>
        <v>0</v>
      </c>
      <c r="R78" s="328">
        <f t="shared" si="130"/>
        <v>0</v>
      </c>
      <c r="S78" s="340">
        <v>1</v>
      </c>
      <c r="T78" s="328">
        <f t="shared" si="131"/>
        <v>0</v>
      </c>
      <c r="V78" s="328">
        <f t="shared" si="132"/>
        <v>4312</v>
      </c>
      <c r="W78" s="328">
        <f t="shared" si="133"/>
        <v>4312</v>
      </c>
      <c r="X78" s="340">
        <v>1</v>
      </c>
      <c r="Y78" s="328">
        <f t="shared" si="134"/>
        <v>4312</v>
      </c>
      <c r="Z78" s="328">
        <f t="shared" si="135"/>
        <v>4312</v>
      </c>
      <c r="AA78" s="328">
        <f t="shared" si="136"/>
        <v>0</v>
      </c>
      <c r="AB78" s="328">
        <f t="shared" si="142"/>
        <v>0</v>
      </c>
      <c r="AC78" s="339">
        <f t="shared" si="137"/>
        <v>87.333333333333329</v>
      </c>
      <c r="AD78" s="325">
        <f t="shared" si="138"/>
        <v>122.75</v>
      </c>
      <c r="AE78" s="339">
        <f t="shared" si="139"/>
        <v>97.333333333333329</v>
      </c>
      <c r="AF78" s="325">
        <f t="shared" si="140"/>
        <v>121.75</v>
      </c>
      <c r="AG78" s="338">
        <f t="shared" si="141"/>
        <v>-8.3333333333333329E-2</v>
      </c>
    </row>
    <row r="79" spans="1:43">
      <c r="B79" s="333" t="s">
        <v>1032</v>
      </c>
      <c r="C79" s="333">
        <v>87</v>
      </c>
      <c r="D79" s="333">
        <v>5</v>
      </c>
      <c r="E79" s="342">
        <v>0</v>
      </c>
      <c r="G79" s="351" t="s">
        <v>888</v>
      </c>
      <c r="H79" s="333">
        <v>10</v>
      </c>
      <c r="I79" s="325">
        <f t="shared" si="125"/>
        <v>97</v>
      </c>
      <c r="L79" s="331">
        <v>1742</v>
      </c>
      <c r="N79" s="328">
        <f t="shared" si="126"/>
        <v>1742</v>
      </c>
      <c r="O79" s="328">
        <f t="shared" si="127"/>
        <v>14.516666666666666</v>
      </c>
      <c r="P79" s="328">
        <f t="shared" si="128"/>
        <v>0</v>
      </c>
      <c r="Q79" s="325">
        <f t="shared" si="129"/>
        <v>0</v>
      </c>
      <c r="R79" s="328">
        <f t="shared" si="130"/>
        <v>0</v>
      </c>
      <c r="S79" s="340">
        <v>1</v>
      </c>
      <c r="T79" s="328">
        <f t="shared" si="131"/>
        <v>0</v>
      </c>
      <c r="V79" s="328">
        <f t="shared" si="132"/>
        <v>1742</v>
      </c>
      <c r="W79" s="328">
        <f t="shared" si="133"/>
        <v>1742</v>
      </c>
      <c r="X79" s="340">
        <v>1</v>
      </c>
      <c r="Y79" s="328">
        <f t="shared" si="134"/>
        <v>1742</v>
      </c>
      <c r="Z79" s="328">
        <f t="shared" si="135"/>
        <v>1742</v>
      </c>
      <c r="AA79" s="328">
        <f t="shared" si="136"/>
        <v>0</v>
      </c>
      <c r="AB79" s="328">
        <f t="shared" si="142"/>
        <v>0</v>
      </c>
      <c r="AC79" s="339">
        <f t="shared" si="137"/>
        <v>87.333333333333329</v>
      </c>
      <c r="AD79" s="325">
        <f t="shared" si="138"/>
        <v>122.75</v>
      </c>
      <c r="AE79" s="339">
        <f t="shared" si="139"/>
        <v>97.333333333333329</v>
      </c>
      <c r="AF79" s="325">
        <f t="shared" si="140"/>
        <v>121.75</v>
      </c>
      <c r="AG79" s="338">
        <f t="shared" si="141"/>
        <v>-8.3333333333333329E-2</v>
      </c>
    </row>
    <row r="80" spans="1:43">
      <c r="B80" s="333" t="s">
        <v>1031</v>
      </c>
      <c r="C80" s="333">
        <v>87</v>
      </c>
      <c r="D80" s="333">
        <v>7</v>
      </c>
      <c r="E80" s="342">
        <v>0</v>
      </c>
      <c r="G80" s="351" t="s">
        <v>888</v>
      </c>
      <c r="H80" s="333">
        <v>10</v>
      </c>
      <c r="I80" s="325">
        <f t="shared" si="125"/>
        <v>97</v>
      </c>
      <c r="L80" s="331">
        <v>2555</v>
      </c>
      <c r="N80" s="328">
        <f t="shared" si="126"/>
        <v>2555</v>
      </c>
      <c r="O80" s="328">
        <f t="shared" si="127"/>
        <v>21.291666666666668</v>
      </c>
      <c r="P80" s="328">
        <f t="shared" si="128"/>
        <v>0</v>
      </c>
      <c r="Q80" s="325">
        <f t="shared" si="129"/>
        <v>0</v>
      </c>
      <c r="R80" s="328">
        <f t="shared" si="130"/>
        <v>0</v>
      </c>
      <c r="S80" s="340">
        <v>1</v>
      </c>
      <c r="T80" s="328">
        <f t="shared" si="131"/>
        <v>0</v>
      </c>
      <c r="V80" s="328">
        <f t="shared" si="132"/>
        <v>2555</v>
      </c>
      <c r="W80" s="328">
        <f t="shared" si="133"/>
        <v>2555</v>
      </c>
      <c r="X80" s="340">
        <v>1</v>
      </c>
      <c r="Y80" s="328">
        <f t="shared" si="134"/>
        <v>2555</v>
      </c>
      <c r="Z80" s="328">
        <f t="shared" si="135"/>
        <v>2555</v>
      </c>
      <c r="AA80" s="328">
        <f t="shared" si="136"/>
        <v>0</v>
      </c>
      <c r="AB80" s="328">
        <f t="shared" si="142"/>
        <v>0</v>
      </c>
      <c r="AC80" s="339">
        <f t="shared" si="137"/>
        <v>87.5</v>
      </c>
      <c r="AD80" s="325">
        <f t="shared" si="138"/>
        <v>122.75</v>
      </c>
      <c r="AE80" s="339">
        <f t="shared" si="139"/>
        <v>97.5</v>
      </c>
      <c r="AF80" s="325">
        <f t="shared" si="140"/>
        <v>121.75</v>
      </c>
      <c r="AG80" s="338">
        <f t="shared" si="141"/>
        <v>-8.3333333333333329E-2</v>
      </c>
    </row>
    <row r="81" spans="2:33">
      <c r="B81" s="333" t="s">
        <v>1030</v>
      </c>
      <c r="C81" s="333">
        <v>88</v>
      </c>
      <c r="D81" s="333">
        <v>5</v>
      </c>
      <c r="E81" s="342">
        <v>0</v>
      </c>
      <c r="G81" s="351" t="s">
        <v>888</v>
      </c>
      <c r="H81" s="333">
        <v>10</v>
      </c>
      <c r="I81" s="325">
        <f t="shared" si="125"/>
        <v>98</v>
      </c>
      <c r="L81" s="331">
        <v>508</v>
      </c>
      <c r="N81" s="328">
        <f t="shared" si="126"/>
        <v>508</v>
      </c>
      <c r="O81" s="328">
        <f t="shared" si="127"/>
        <v>4.2333333333333334</v>
      </c>
      <c r="P81" s="328">
        <f t="shared" si="128"/>
        <v>0</v>
      </c>
      <c r="Q81" s="325">
        <f t="shared" si="129"/>
        <v>0</v>
      </c>
      <c r="R81" s="328">
        <f t="shared" si="130"/>
        <v>0</v>
      </c>
      <c r="S81" s="340">
        <v>1</v>
      </c>
      <c r="T81" s="328">
        <f t="shared" si="131"/>
        <v>0</v>
      </c>
      <c r="V81" s="328">
        <f t="shared" si="132"/>
        <v>508</v>
      </c>
      <c r="W81" s="328">
        <f t="shared" si="133"/>
        <v>508</v>
      </c>
      <c r="X81" s="340">
        <v>1</v>
      </c>
      <c r="Y81" s="328">
        <f t="shared" si="134"/>
        <v>508</v>
      </c>
      <c r="Z81" s="328">
        <f t="shared" si="135"/>
        <v>508</v>
      </c>
      <c r="AA81" s="328">
        <f t="shared" si="136"/>
        <v>0</v>
      </c>
      <c r="AB81" s="328">
        <f t="shared" si="142"/>
        <v>0</v>
      </c>
      <c r="AC81" s="339">
        <f t="shared" si="137"/>
        <v>88.333333333333329</v>
      </c>
      <c r="AD81" s="325">
        <f t="shared" si="138"/>
        <v>122.75</v>
      </c>
      <c r="AE81" s="339">
        <f t="shared" si="139"/>
        <v>98.333333333333329</v>
      </c>
      <c r="AF81" s="325">
        <f t="shared" si="140"/>
        <v>121.75</v>
      </c>
      <c r="AG81" s="338">
        <f t="shared" si="141"/>
        <v>-8.3333333333333329E-2</v>
      </c>
    </row>
    <row r="82" spans="2:33">
      <c r="B82" s="333" t="s">
        <v>1029</v>
      </c>
      <c r="C82" s="333">
        <v>88</v>
      </c>
      <c r="D82" s="333">
        <v>5</v>
      </c>
      <c r="E82" s="342">
        <v>0</v>
      </c>
      <c r="G82" s="351" t="s">
        <v>888</v>
      </c>
      <c r="H82" s="333">
        <v>10</v>
      </c>
      <c r="I82" s="325">
        <f t="shared" si="125"/>
        <v>98</v>
      </c>
      <c r="L82" s="331">
        <v>1039</v>
      </c>
      <c r="N82" s="328">
        <f t="shared" si="126"/>
        <v>1039</v>
      </c>
      <c r="O82" s="328">
        <f t="shared" si="127"/>
        <v>8.6583333333333332</v>
      </c>
      <c r="P82" s="328">
        <f t="shared" si="128"/>
        <v>0</v>
      </c>
      <c r="Q82" s="325">
        <f t="shared" si="129"/>
        <v>0</v>
      </c>
      <c r="R82" s="328">
        <f t="shared" si="130"/>
        <v>0</v>
      </c>
      <c r="S82" s="340">
        <v>1</v>
      </c>
      <c r="T82" s="328">
        <f t="shared" si="131"/>
        <v>0</v>
      </c>
      <c r="V82" s="328">
        <f t="shared" si="132"/>
        <v>1039</v>
      </c>
      <c r="W82" s="328">
        <f t="shared" si="133"/>
        <v>1039</v>
      </c>
      <c r="X82" s="340">
        <v>1</v>
      </c>
      <c r="Y82" s="328">
        <f t="shared" si="134"/>
        <v>1039</v>
      </c>
      <c r="Z82" s="328">
        <f t="shared" si="135"/>
        <v>1039</v>
      </c>
      <c r="AA82" s="328">
        <f t="shared" si="136"/>
        <v>0</v>
      </c>
      <c r="AB82" s="328">
        <f t="shared" si="142"/>
        <v>0</v>
      </c>
      <c r="AC82" s="339">
        <f t="shared" si="137"/>
        <v>88.333333333333329</v>
      </c>
      <c r="AD82" s="325">
        <f t="shared" si="138"/>
        <v>122.75</v>
      </c>
      <c r="AE82" s="339">
        <f t="shared" si="139"/>
        <v>98.333333333333329</v>
      </c>
      <c r="AF82" s="325">
        <f t="shared" si="140"/>
        <v>121.75</v>
      </c>
      <c r="AG82" s="338">
        <f t="shared" si="141"/>
        <v>-8.3333333333333329E-2</v>
      </c>
    </row>
    <row r="83" spans="2:33">
      <c r="B83" s="333" t="s">
        <v>1028</v>
      </c>
      <c r="C83" s="333">
        <v>88</v>
      </c>
      <c r="D83" s="333">
        <v>5</v>
      </c>
      <c r="E83" s="342">
        <v>0</v>
      </c>
      <c r="G83" s="351" t="s">
        <v>888</v>
      </c>
      <c r="H83" s="333">
        <v>10</v>
      </c>
      <c r="I83" s="325">
        <f t="shared" si="125"/>
        <v>98</v>
      </c>
      <c r="L83" s="331">
        <v>2173</v>
      </c>
      <c r="N83" s="328">
        <f t="shared" si="126"/>
        <v>2173</v>
      </c>
      <c r="O83" s="328">
        <f t="shared" si="127"/>
        <v>18.108333333333334</v>
      </c>
      <c r="P83" s="328">
        <f t="shared" si="128"/>
        <v>0</v>
      </c>
      <c r="Q83" s="325">
        <f t="shared" si="129"/>
        <v>0</v>
      </c>
      <c r="R83" s="328">
        <f t="shared" si="130"/>
        <v>0</v>
      </c>
      <c r="S83" s="340">
        <v>1</v>
      </c>
      <c r="T83" s="328">
        <f t="shared" si="131"/>
        <v>0</v>
      </c>
      <c r="V83" s="328">
        <f t="shared" si="132"/>
        <v>2173</v>
      </c>
      <c r="W83" s="328">
        <f t="shared" si="133"/>
        <v>2173</v>
      </c>
      <c r="X83" s="340">
        <v>1</v>
      </c>
      <c r="Y83" s="328">
        <f t="shared" si="134"/>
        <v>2173</v>
      </c>
      <c r="Z83" s="328">
        <f t="shared" si="135"/>
        <v>2173</v>
      </c>
      <c r="AA83" s="328">
        <f t="shared" si="136"/>
        <v>0</v>
      </c>
      <c r="AB83" s="328">
        <f t="shared" si="142"/>
        <v>0</v>
      </c>
      <c r="AC83" s="339">
        <f t="shared" si="137"/>
        <v>88.333333333333329</v>
      </c>
      <c r="AD83" s="325">
        <f t="shared" si="138"/>
        <v>122.75</v>
      </c>
      <c r="AE83" s="339">
        <f t="shared" si="139"/>
        <v>98.333333333333329</v>
      </c>
      <c r="AF83" s="325">
        <f t="shared" si="140"/>
        <v>121.75</v>
      </c>
      <c r="AG83" s="338">
        <f t="shared" si="141"/>
        <v>-8.3333333333333329E-2</v>
      </c>
    </row>
    <row r="84" spans="2:33">
      <c r="B84" s="333" t="s">
        <v>1027</v>
      </c>
      <c r="C84" s="333">
        <v>88</v>
      </c>
      <c r="D84" s="333">
        <v>5</v>
      </c>
      <c r="E84" s="342">
        <v>0</v>
      </c>
      <c r="G84" s="351" t="s">
        <v>888</v>
      </c>
      <c r="H84" s="333">
        <v>10</v>
      </c>
      <c r="I84" s="325">
        <f t="shared" si="125"/>
        <v>98</v>
      </c>
      <c r="L84" s="331">
        <v>251</v>
      </c>
      <c r="N84" s="328">
        <f t="shared" si="126"/>
        <v>251</v>
      </c>
      <c r="O84" s="328">
        <f t="shared" si="127"/>
        <v>2.0916666666666668</v>
      </c>
      <c r="P84" s="328">
        <f t="shared" si="128"/>
        <v>0</v>
      </c>
      <c r="Q84" s="325">
        <f t="shared" si="129"/>
        <v>0</v>
      </c>
      <c r="R84" s="328">
        <f t="shared" si="130"/>
        <v>0</v>
      </c>
      <c r="S84" s="340">
        <v>1</v>
      </c>
      <c r="T84" s="328">
        <f t="shared" si="131"/>
        <v>0</v>
      </c>
      <c r="V84" s="328">
        <f t="shared" si="132"/>
        <v>251</v>
      </c>
      <c r="W84" s="328">
        <f t="shared" si="133"/>
        <v>251</v>
      </c>
      <c r="X84" s="340">
        <v>1</v>
      </c>
      <c r="Y84" s="328">
        <f t="shared" si="134"/>
        <v>251</v>
      </c>
      <c r="Z84" s="328">
        <f t="shared" si="135"/>
        <v>251</v>
      </c>
      <c r="AA84" s="328">
        <f t="shared" si="136"/>
        <v>0</v>
      </c>
      <c r="AB84" s="328">
        <f t="shared" si="142"/>
        <v>0</v>
      </c>
      <c r="AC84" s="339">
        <f t="shared" si="137"/>
        <v>88.333333333333329</v>
      </c>
      <c r="AD84" s="325">
        <f t="shared" si="138"/>
        <v>122.75</v>
      </c>
      <c r="AE84" s="339">
        <f t="shared" si="139"/>
        <v>98.333333333333329</v>
      </c>
      <c r="AF84" s="325">
        <f t="shared" si="140"/>
        <v>121.75</v>
      </c>
      <c r="AG84" s="338">
        <f t="shared" si="141"/>
        <v>-8.3333333333333329E-2</v>
      </c>
    </row>
    <row r="85" spans="2:33">
      <c r="B85" s="333" t="s">
        <v>1024</v>
      </c>
      <c r="C85" s="333">
        <v>88</v>
      </c>
      <c r="D85" s="333">
        <v>6</v>
      </c>
      <c r="E85" s="342">
        <v>0</v>
      </c>
      <c r="G85" s="351" t="s">
        <v>888</v>
      </c>
      <c r="H85" s="333">
        <v>10</v>
      </c>
      <c r="I85" s="325">
        <f t="shared" si="125"/>
        <v>98</v>
      </c>
      <c r="L85" s="331">
        <v>1202</v>
      </c>
      <c r="N85" s="328">
        <f t="shared" si="126"/>
        <v>1202</v>
      </c>
      <c r="O85" s="328">
        <f t="shared" si="127"/>
        <v>10.016666666666667</v>
      </c>
      <c r="P85" s="328">
        <f t="shared" si="128"/>
        <v>0</v>
      </c>
      <c r="Q85" s="325">
        <f t="shared" si="129"/>
        <v>0</v>
      </c>
      <c r="R85" s="328">
        <f t="shared" si="130"/>
        <v>0</v>
      </c>
      <c r="S85" s="340">
        <v>1</v>
      </c>
      <c r="T85" s="328">
        <f t="shared" si="131"/>
        <v>0</v>
      </c>
      <c r="V85" s="328">
        <f t="shared" si="132"/>
        <v>1202</v>
      </c>
      <c r="W85" s="328">
        <f t="shared" si="133"/>
        <v>1202</v>
      </c>
      <c r="X85" s="340">
        <v>1</v>
      </c>
      <c r="Y85" s="328">
        <f t="shared" si="134"/>
        <v>1202</v>
      </c>
      <c r="Z85" s="328">
        <f t="shared" si="135"/>
        <v>1202</v>
      </c>
      <c r="AA85" s="328">
        <f t="shared" si="136"/>
        <v>0</v>
      </c>
      <c r="AB85" s="328">
        <f t="shared" si="142"/>
        <v>0</v>
      </c>
      <c r="AC85" s="339">
        <f t="shared" si="137"/>
        <v>88.416666666666671</v>
      </c>
      <c r="AD85" s="325">
        <f t="shared" si="138"/>
        <v>122.75</v>
      </c>
      <c r="AE85" s="339">
        <f t="shared" si="139"/>
        <v>98.416666666666671</v>
      </c>
      <c r="AF85" s="325">
        <f t="shared" si="140"/>
        <v>121.75</v>
      </c>
      <c r="AG85" s="338">
        <f t="shared" si="141"/>
        <v>-8.3333333333333329E-2</v>
      </c>
    </row>
    <row r="86" spans="2:33">
      <c r="B86" s="333" t="s">
        <v>1016</v>
      </c>
      <c r="C86" s="333">
        <v>88</v>
      </c>
      <c r="D86" s="333">
        <v>7</v>
      </c>
      <c r="E86" s="342">
        <v>0</v>
      </c>
      <c r="G86" s="351" t="s">
        <v>888</v>
      </c>
      <c r="H86" s="333">
        <v>10</v>
      </c>
      <c r="I86" s="325">
        <f t="shared" si="125"/>
        <v>98</v>
      </c>
      <c r="L86" s="331">
        <v>508</v>
      </c>
      <c r="N86" s="328">
        <f t="shared" si="126"/>
        <v>508</v>
      </c>
      <c r="O86" s="328">
        <f t="shared" si="127"/>
        <v>4.2333333333333334</v>
      </c>
      <c r="P86" s="328">
        <f t="shared" si="128"/>
        <v>0</v>
      </c>
      <c r="Q86" s="325">
        <f t="shared" si="129"/>
        <v>0</v>
      </c>
      <c r="R86" s="328">
        <f t="shared" si="130"/>
        <v>0</v>
      </c>
      <c r="S86" s="340">
        <v>1</v>
      </c>
      <c r="T86" s="328">
        <f t="shared" si="131"/>
        <v>0</v>
      </c>
      <c r="V86" s="328">
        <f t="shared" si="132"/>
        <v>508</v>
      </c>
      <c r="W86" s="328">
        <f t="shared" si="133"/>
        <v>508</v>
      </c>
      <c r="X86" s="340">
        <v>1</v>
      </c>
      <c r="Y86" s="328">
        <f t="shared" si="134"/>
        <v>508</v>
      </c>
      <c r="Z86" s="328">
        <f t="shared" si="135"/>
        <v>508</v>
      </c>
      <c r="AA86" s="328">
        <f t="shared" si="136"/>
        <v>0</v>
      </c>
      <c r="AB86" s="328">
        <f t="shared" si="142"/>
        <v>0</v>
      </c>
      <c r="AC86" s="339">
        <f t="shared" si="137"/>
        <v>88.5</v>
      </c>
      <c r="AD86" s="325">
        <f t="shared" si="138"/>
        <v>122.75</v>
      </c>
      <c r="AE86" s="339">
        <f t="shared" si="139"/>
        <v>98.5</v>
      </c>
      <c r="AF86" s="325">
        <f t="shared" si="140"/>
        <v>121.75</v>
      </c>
      <c r="AG86" s="338">
        <f t="shared" si="141"/>
        <v>-8.3333333333333329E-2</v>
      </c>
    </row>
    <row r="87" spans="2:33">
      <c r="B87" s="333" t="s">
        <v>1026</v>
      </c>
      <c r="C87" s="333">
        <v>88</v>
      </c>
      <c r="D87" s="333">
        <v>7</v>
      </c>
      <c r="E87" s="342">
        <v>0</v>
      </c>
      <c r="G87" s="351" t="s">
        <v>888</v>
      </c>
      <c r="H87" s="333">
        <v>10</v>
      </c>
      <c r="I87" s="325">
        <f t="shared" si="125"/>
        <v>98</v>
      </c>
      <c r="L87" s="331">
        <v>601</v>
      </c>
      <c r="N87" s="328">
        <f t="shared" si="126"/>
        <v>601</v>
      </c>
      <c r="O87" s="328">
        <f t="shared" si="127"/>
        <v>5.0083333333333337</v>
      </c>
      <c r="P87" s="328">
        <f t="shared" si="128"/>
        <v>0</v>
      </c>
      <c r="Q87" s="325">
        <f t="shared" si="129"/>
        <v>0</v>
      </c>
      <c r="R87" s="328">
        <f t="shared" si="130"/>
        <v>0</v>
      </c>
      <c r="S87" s="340">
        <v>1</v>
      </c>
      <c r="T87" s="328">
        <f t="shared" si="131"/>
        <v>0</v>
      </c>
      <c r="V87" s="328">
        <f t="shared" si="132"/>
        <v>601</v>
      </c>
      <c r="W87" s="328">
        <f t="shared" si="133"/>
        <v>601</v>
      </c>
      <c r="X87" s="340">
        <v>1</v>
      </c>
      <c r="Y87" s="328">
        <f t="shared" si="134"/>
        <v>601</v>
      </c>
      <c r="Z87" s="328">
        <f t="shared" si="135"/>
        <v>601</v>
      </c>
      <c r="AA87" s="328">
        <f t="shared" si="136"/>
        <v>0</v>
      </c>
      <c r="AB87" s="328">
        <f t="shared" si="142"/>
        <v>0</v>
      </c>
      <c r="AC87" s="339">
        <f t="shared" si="137"/>
        <v>88.5</v>
      </c>
      <c r="AD87" s="325">
        <f t="shared" si="138"/>
        <v>122.75</v>
      </c>
      <c r="AE87" s="339">
        <f t="shared" si="139"/>
        <v>98.5</v>
      </c>
      <c r="AF87" s="325">
        <f t="shared" si="140"/>
        <v>121.75</v>
      </c>
      <c r="AG87" s="338">
        <f t="shared" si="141"/>
        <v>-8.3333333333333329E-2</v>
      </c>
    </row>
    <row r="88" spans="2:33">
      <c r="B88" s="333" t="s">
        <v>1019</v>
      </c>
      <c r="C88" s="333">
        <v>88</v>
      </c>
      <c r="D88" s="333">
        <v>8</v>
      </c>
      <c r="E88" s="342">
        <v>0</v>
      </c>
      <c r="G88" s="351" t="s">
        <v>888</v>
      </c>
      <c r="H88" s="333">
        <v>10</v>
      </c>
      <c r="I88" s="325">
        <f t="shared" si="125"/>
        <v>98</v>
      </c>
      <c r="L88" s="331">
        <v>301</v>
      </c>
      <c r="N88" s="328">
        <f t="shared" si="126"/>
        <v>301</v>
      </c>
      <c r="O88" s="328">
        <f t="shared" si="127"/>
        <v>2.5083333333333333</v>
      </c>
      <c r="P88" s="328">
        <f t="shared" si="128"/>
        <v>0</v>
      </c>
      <c r="Q88" s="325">
        <f t="shared" si="129"/>
        <v>0</v>
      </c>
      <c r="R88" s="328">
        <f t="shared" si="130"/>
        <v>0</v>
      </c>
      <c r="S88" s="340">
        <v>1</v>
      </c>
      <c r="T88" s="328">
        <f t="shared" si="131"/>
        <v>0</v>
      </c>
      <c r="V88" s="328">
        <f t="shared" si="132"/>
        <v>301</v>
      </c>
      <c r="W88" s="328">
        <f t="shared" si="133"/>
        <v>301</v>
      </c>
      <c r="X88" s="340">
        <v>1</v>
      </c>
      <c r="Y88" s="328">
        <f t="shared" si="134"/>
        <v>301</v>
      </c>
      <c r="Z88" s="328">
        <f t="shared" si="135"/>
        <v>301</v>
      </c>
      <c r="AA88" s="328">
        <f t="shared" si="136"/>
        <v>0</v>
      </c>
      <c r="AB88" s="328">
        <f t="shared" si="142"/>
        <v>0</v>
      </c>
      <c r="AC88" s="339">
        <f t="shared" si="137"/>
        <v>88.583333333333329</v>
      </c>
      <c r="AD88" s="325">
        <f t="shared" si="138"/>
        <v>122.75</v>
      </c>
      <c r="AE88" s="339">
        <f t="shared" si="139"/>
        <v>98.583333333333329</v>
      </c>
      <c r="AF88" s="325">
        <f t="shared" si="140"/>
        <v>121.75</v>
      </c>
      <c r="AG88" s="338">
        <f t="shared" si="141"/>
        <v>-8.3333333333333329E-2</v>
      </c>
    </row>
    <row r="89" spans="2:33">
      <c r="B89" s="333" t="s">
        <v>1008</v>
      </c>
      <c r="C89" s="333">
        <v>88</v>
      </c>
      <c r="D89" s="333">
        <v>8</v>
      </c>
      <c r="E89" s="342">
        <v>0</v>
      </c>
      <c r="G89" s="351" t="s">
        <v>888</v>
      </c>
      <c r="H89" s="333">
        <v>10</v>
      </c>
      <c r="I89" s="325">
        <f t="shared" si="125"/>
        <v>98</v>
      </c>
      <c r="L89" s="331">
        <v>730</v>
      </c>
      <c r="N89" s="328">
        <f t="shared" si="126"/>
        <v>730</v>
      </c>
      <c r="O89" s="328">
        <f t="shared" si="127"/>
        <v>6.083333333333333</v>
      </c>
      <c r="P89" s="328">
        <f t="shared" si="128"/>
        <v>0</v>
      </c>
      <c r="Q89" s="325">
        <f t="shared" si="129"/>
        <v>0</v>
      </c>
      <c r="R89" s="328">
        <f t="shared" si="130"/>
        <v>0</v>
      </c>
      <c r="S89" s="340">
        <v>1</v>
      </c>
      <c r="T89" s="328">
        <f t="shared" si="131"/>
        <v>0</v>
      </c>
      <c r="V89" s="328">
        <f t="shared" si="132"/>
        <v>730</v>
      </c>
      <c r="W89" s="328">
        <f t="shared" si="133"/>
        <v>730</v>
      </c>
      <c r="X89" s="340">
        <v>1</v>
      </c>
      <c r="Y89" s="328">
        <f t="shared" si="134"/>
        <v>730</v>
      </c>
      <c r="Z89" s="328">
        <f t="shared" si="135"/>
        <v>730</v>
      </c>
      <c r="AA89" s="328">
        <f t="shared" si="136"/>
        <v>0</v>
      </c>
      <c r="AB89" s="328">
        <f t="shared" si="142"/>
        <v>0</v>
      </c>
      <c r="AC89" s="339">
        <f t="shared" si="137"/>
        <v>88.583333333333329</v>
      </c>
      <c r="AD89" s="325">
        <f t="shared" si="138"/>
        <v>122.75</v>
      </c>
      <c r="AE89" s="339">
        <f t="shared" si="139"/>
        <v>98.583333333333329</v>
      </c>
      <c r="AF89" s="325">
        <f t="shared" si="140"/>
        <v>121.75</v>
      </c>
      <c r="AG89" s="338">
        <f t="shared" si="141"/>
        <v>-8.3333333333333329E-2</v>
      </c>
    </row>
    <row r="90" spans="2:33">
      <c r="B90" s="333" t="s">
        <v>999</v>
      </c>
      <c r="C90" s="333">
        <v>89</v>
      </c>
      <c r="D90" s="333">
        <v>3</v>
      </c>
      <c r="E90" s="342">
        <v>0</v>
      </c>
      <c r="G90" s="351" t="s">
        <v>888</v>
      </c>
      <c r="H90" s="333">
        <v>10</v>
      </c>
      <c r="I90" s="325">
        <f t="shared" si="125"/>
        <v>99</v>
      </c>
      <c r="L90" s="331">
        <v>1611</v>
      </c>
      <c r="N90" s="328">
        <f t="shared" si="126"/>
        <v>1611</v>
      </c>
      <c r="O90" s="328">
        <f t="shared" si="127"/>
        <v>13.424999999999999</v>
      </c>
      <c r="P90" s="328">
        <f t="shared" si="128"/>
        <v>0</v>
      </c>
      <c r="Q90" s="325">
        <f t="shared" si="129"/>
        <v>0</v>
      </c>
      <c r="R90" s="328">
        <f t="shared" si="130"/>
        <v>0</v>
      </c>
      <c r="S90" s="340">
        <v>1</v>
      </c>
      <c r="T90" s="328">
        <f t="shared" si="131"/>
        <v>0</v>
      </c>
      <c r="V90" s="328">
        <f t="shared" si="132"/>
        <v>1611</v>
      </c>
      <c r="W90" s="328">
        <f t="shared" si="133"/>
        <v>1611</v>
      </c>
      <c r="X90" s="340">
        <v>1</v>
      </c>
      <c r="Y90" s="328">
        <f t="shared" si="134"/>
        <v>1611</v>
      </c>
      <c r="Z90" s="328">
        <f t="shared" si="135"/>
        <v>1611</v>
      </c>
      <c r="AA90" s="328">
        <f t="shared" si="136"/>
        <v>0</v>
      </c>
      <c r="AB90" s="328">
        <f t="shared" si="142"/>
        <v>0</v>
      </c>
      <c r="AC90" s="339">
        <f t="shared" si="137"/>
        <v>89.166666666666671</v>
      </c>
      <c r="AD90" s="325">
        <f t="shared" si="138"/>
        <v>122.75</v>
      </c>
      <c r="AE90" s="339">
        <f t="shared" si="139"/>
        <v>99.166666666666671</v>
      </c>
      <c r="AF90" s="325">
        <f t="shared" si="140"/>
        <v>121.75</v>
      </c>
      <c r="AG90" s="338">
        <f t="shared" si="141"/>
        <v>-8.3333333333333329E-2</v>
      </c>
    </row>
    <row r="91" spans="2:33">
      <c r="B91" s="333" t="s">
        <v>1025</v>
      </c>
      <c r="C91" s="333">
        <v>89</v>
      </c>
      <c r="D91" s="333">
        <v>4</v>
      </c>
      <c r="E91" s="342">
        <v>0</v>
      </c>
      <c r="G91" s="351" t="s">
        <v>888</v>
      </c>
      <c r="H91" s="333">
        <v>10</v>
      </c>
      <c r="I91" s="325">
        <f t="shared" si="125"/>
        <v>99</v>
      </c>
      <c r="L91" s="331">
        <v>2162</v>
      </c>
      <c r="N91" s="328">
        <f t="shared" si="126"/>
        <v>2162</v>
      </c>
      <c r="O91" s="328">
        <f t="shared" si="127"/>
        <v>18.016666666666666</v>
      </c>
      <c r="P91" s="328">
        <f t="shared" si="128"/>
        <v>0</v>
      </c>
      <c r="Q91" s="325">
        <f t="shared" si="129"/>
        <v>0</v>
      </c>
      <c r="R91" s="328">
        <f t="shared" si="130"/>
        <v>0</v>
      </c>
      <c r="S91" s="340">
        <v>1</v>
      </c>
      <c r="T91" s="328">
        <f t="shared" si="131"/>
        <v>0</v>
      </c>
      <c r="V91" s="328">
        <f t="shared" si="132"/>
        <v>2162</v>
      </c>
      <c r="W91" s="328">
        <f t="shared" si="133"/>
        <v>2162</v>
      </c>
      <c r="X91" s="340">
        <v>1</v>
      </c>
      <c r="Y91" s="328">
        <f t="shared" si="134"/>
        <v>2162</v>
      </c>
      <c r="Z91" s="328">
        <f t="shared" si="135"/>
        <v>2162</v>
      </c>
      <c r="AA91" s="328">
        <f t="shared" si="136"/>
        <v>0</v>
      </c>
      <c r="AB91" s="328">
        <f t="shared" si="142"/>
        <v>0</v>
      </c>
      <c r="AC91" s="339">
        <f t="shared" si="137"/>
        <v>89.25</v>
      </c>
      <c r="AD91" s="325">
        <f t="shared" si="138"/>
        <v>122.75</v>
      </c>
      <c r="AE91" s="339">
        <f t="shared" si="139"/>
        <v>99.25</v>
      </c>
      <c r="AF91" s="325">
        <f t="shared" si="140"/>
        <v>121.75</v>
      </c>
      <c r="AG91" s="338">
        <f t="shared" si="141"/>
        <v>-8.3333333333333329E-2</v>
      </c>
    </row>
    <row r="92" spans="2:33">
      <c r="B92" s="333" t="s">
        <v>1005</v>
      </c>
      <c r="C92" s="333">
        <v>89</v>
      </c>
      <c r="D92" s="333">
        <v>4</v>
      </c>
      <c r="E92" s="342">
        <v>0</v>
      </c>
      <c r="G92" s="351" t="s">
        <v>888</v>
      </c>
      <c r="H92" s="333">
        <v>10</v>
      </c>
      <c r="I92" s="325">
        <f t="shared" si="125"/>
        <v>99</v>
      </c>
      <c r="L92" s="331">
        <v>3081</v>
      </c>
      <c r="N92" s="328">
        <f t="shared" si="126"/>
        <v>3081</v>
      </c>
      <c r="O92" s="328">
        <f t="shared" si="127"/>
        <v>25.675000000000001</v>
      </c>
      <c r="P92" s="328">
        <f t="shared" si="128"/>
        <v>0</v>
      </c>
      <c r="Q92" s="325">
        <f t="shared" si="129"/>
        <v>0</v>
      </c>
      <c r="R92" s="328">
        <f t="shared" si="130"/>
        <v>0</v>
      </c>
      <c r="S92" s="340">
        <v>1</v>
      </c>
      <c r="T92" s="328">
        <f t="shared" si="131"/>
        <v>0</v>
      </c>
      <c r="V92" s="328">
        <f t="shared" si="132"/>
        <v>3081</v>
      </c>
      <c r="W92" s="328">
        <f t="shared" si="133"/>
        <v>3081</v>
      </c>
      <c r="X92" s="340">
        <v>1</v>
      </c>
      <c r="Y92" s="328">
        <f t="shared" si="134"/>
        <v>3081</v>
      </c>
      <c r="Z92" s="328">
        <f t="shared" si="135"/>
        <v>3081</v>
      </c>
      <c r="AA92" s="328">
        <f t="shared" si="136"/>
        <v>0</v>
      </c>
      <c r="AB92" s="328">
        <f t="shared" si="142"/>
        <v>0</v>
      </c>
      <c r="AC92" s="339">
        <f t="shared" si="137"/>
        <v>89.25</v>
      </c>
      <c r="AD92" s="325">
        <f t="shared" si="138"/>
        <v>122.75</v>
      </c>
      <c r="AE92" s="339">
        <f t="shared" si="139"/>
        <v>99.25</v>
      </c>
      <c r="AF92" s="325">
        <f t="shared" si="140"/>
        <v>121.75</v>
      </c>
      <c r="AG92" s="338">
        <f t="shared" si="141"/>
        <v>-8.3333333333333329E-2</v>
      </c>
    </row>
    <row r="93" spans="2:33">
      <c r="B93" s="333" t="s">
        <v>1008</v>
      </c>
      <c r="C93" s="333">
        <v>89</v>
      </c>
      <c r="D93" s="333">
        <v>5</v>
      </c>
      <c r="E93" s="342">
        <v>0</v>
      </c>
      <c r="G93" s="351" t="s">
        <v>888</v>
      </c>
      <c r="H93" s="333">
        <v>10</v>
      </c>
      <c r="I93" s="325">
        <f t="shared" si="125"/>
        <v>99</v>
      </c>
      <c r="L93" s="331">
        <v>805</v>
      </c>
      <c r="N93" s="328">
        <f t="shared" si="126"/>
        <v>805</v>
      </c>
      <c r="O93" s="328">
        <f t="shared" si="127"/>
        <v>6.708333333333333</v>
      </c>
      <c r="P93" s="328">
        <f t="shared" si="128"/>
        <v>0</v>
      </c>
      <c r="Q93" s="325">
        <f t="shared" si="129"/>
        <v>0</v>
      </c>
      <c r="R93" s="328">
        <f t="shared" si="130"/>
        <v>0</v>
      </c>
      <c r="S93" s="340">
        <v>1</v>
      </c>
      <c r="T93" s="328">
        <f t="shared" si="131"/>
        <v>0</v>
      </c>
      <c r="V93" s="328">
        <f t="shared" si="132"/>
        <v>805</v>
      </c>
      <c r="W93" s="328">
        <f t="shared" si="133"/>
        <v>805</v>
      </c>
      <c r="X93" s="340">
        <v>1</v>
      </c>
      <c r="Y93" s="328">
        <f t="shared" si="134"/>
        <v>805</v>
      </c>
      <c r="Z93" s="328">
        <f t="shared" si="135"/>
        <v>805</v>
      </c>
      <c r="AA93" s="328">
        <f t="shared" si="136"/>
        <v>0</v>
      </c>
      <c r="AB93" s="328">
        <f t="shared" si="142"/>
        <v>0</v>
      </c>
      <c r="AC93" s="339">
        <f t="shared" si="137"/>
        <v>89.333333333333329</v>
      </c>
      <c r="AD93" s="325">
        <f t="shared" si="138"/>
        <v>122.75</v>
      </c>
      <c r="AE93" s="339">
        <f t="shared" si="139"/>
        <v>99.333333333333329</v>
      </c>
      <c r="AF93" s="325">
        <f t="shared" si="140"/>
        <v>121.75</v>
      </c>
      <c r="AG93" s="338">
        <f t="shared" si="141"/>
        <v>-8.3333333333333329E-2</v>
      </c>
    </row>
    <row r="94" spans="2:33">
      <c r="B94" s="333" t="s">
        <v>1008</v>
      </c>
      <c r="C94" s="333">
        <v>89</v>
      </c>
      <c r="D94" s="333">
        <v>6</v>
      </c>
      <c r="E94" s="342">
        <v>0</v>
      </c>
      <c r="G94" s="351" t="s">
        <v>888</v>
      </c>
      <c r="H94" s="333">
        <v>10</v>
      </c>
      <c r="I94" s="325">
        <f t="shared" si="125"/>
        <v>99</v>
      </c>
      <c r="L94" s="331">
        <v>805</v>
      </c>
      <c r="N94" s="328">
        <f t="shared" si="126"/>
        <v>805</v>
      </c>
      <c r="O94" s="328">
        <f t="shared" si="127"/>
        <v>6.708333333333333</v>
      </c>
      <c r="P94" s="328">
        <f t="shared" si="128"/>
        <v>0</v>
      </c>
      <c r="Q94" s="325">
        <f t="shared" si="129"/>
        <v>0</v>
      </c>
      <c r="R94" s="328">
        <f t="shared" si="130"/>
        <v>0</v>
      </c>
      <c r="S94" s="340">
        <v>1</v>
      </c>
      <c r="T94" s="328">
        <f t="shared" si="131"/>
        <v>0</v>
      </c>
      <c r="V94" s="328">
        <f t="shared" si="132"/>
        <v>805</v>
      </c>
      <c r="W94" s="328">
        <f t="shared" si="133"/>
        <v>805</v>
      </c>
      <c r="X94" s="340">
        <v>1</v>
      </c>
      <c r="Y94" s="328">
        <f t="shared" si="134"/>
        <v>805</v>
      </c>
      <c r="Z94" s="328">
        <f t="shared" si="135"/>
        <v>805</v>
      </c>
      <c r="AA94" s="328">
        <f t="shared" si="136"/>
        <v>0</v>
      </c>
      <c r="AB94" s="328">
        <f t="shared" si="142"/>
        <v>0</v>
      </c>
      <c r="AC94" s="339">
        <f t="shared" si="137"/>
        <v>89.416666666666671</v>
      </c>
      <c r="AD94" s="325">
        <f t="shared" si="138"/>
        <v>122.75</v>
      </c>
      <c r="AE94" s="339">
        <f t="shared" si="139"/>
        <v>99.416666666666671</v>
      </c>
      <c r="AF94" s="325">
        <f t="shared" si="140"/>
        <v>121.75</v>
      </c>
      <c r="AG94" s="338">
        <f t="shared" si="141"/>
        <v>-8.3333333333333329E-2</v>
      </c>
    </row>
    <row r="95" spans="2:33">
      <c r="B95" s="333" t="s">
        <v>1013</v>
      </c>
      <c r="C95" s="333">
        <v>89</v>
      </c>
      <c r="D95" s="333">
        <v>6</v>
      </c>
      <c r="E95" s="342">
        <v>0</v>
      </c>
      <c r="G95" s="351" t="s">
        <v>888</v>
      </c>
      <c r="H95" s="333">
        <v>10</v>
      </c>
      <c r="I95" s="325">
        <f t="shared" si="125"/>
        <v>99</v>
      </c>
      <c r="L95" s="331">
        <v>1402</v>
      </c>
      <c r="N95" s="328">
        <f t="shared" si="126"/>
        <v>1402</v>
      </c>
      <c r="O95" s="328">
        <f t="shared" si="127"/>
        <v>11.683333333333332</v>
      </c>
      <c r="P95" s="328">
        <f t="shared" si="128"/>
        <v>0</v>
      </c>
      <c r="Q95" s="325">
        <f t="shared" si="129"/>
        <v>0</v>
      </c>
      <c r="R95" s="328">
        <f t="shared" si="130"/>
        <v>0</v>
      </c>
      <c r="S95" s="340">
        <v>1</v>
      </c>
      <c r="T95" s="328">
        <f t="shared" si="131"/>
        <v>0</v>
      </c>
      <c r="V95" s="328">
        <f t="shared" si="132"/>
        <v>1402</v>
      </c>
      <c r="W95" s="328">
        <f t="shared" si="133"/>
        <v>1402</v>
      </c>
      <c r="X95" s="340">
        <v>1</v>
      </c>
      <c r="Y95" s="328">
        <f t="shared" si="134"/>
        <v>1402</v>
      </c>
      <c r="Z95" s="328">
        <f t="shared" si="135"/>
        <v>1402</v>
      </c>
      <c r="AA95" s="328">
        <f t="shared" si="136"/>
        <v>0</v>
      </c>
      <c r="AB95" s="328">
        <f t="shared" si="142"/>
        <v>0</v>
      </c>
      <c r="AC95" s="339">
        <f t="shared" si="137"/>
        <v>89.416666666666671</v>
      </c>
      <c r="AD95" s="325">
        <f t="shared" si="138"/>
        <v>122.75</v>
      </c>
      <c r="AE95" s="339">
        <f t="shared" si="139"/>
        <v>99.416666666666671</v>
      </c>
      <c r="AF95" s="325">
        <f t="shared" si="140"/>
        <v>121.75</v>
      </c>
      <c r="AG95" s="338">
        <f t="shared" si="141"/>
        <v>-8.3333333333333329E-2</v>
      </c>
    </row>
    <row r="96" spans="2:33">
      <c r="B96" s="333" t="s">
        <v>1009</v>
      </c>
      <c r="C96" s="333">
        <v>89</v>
      </c>
      <c r="D96" s="333">
        <v>7</v>
      </c>
      <c r="E96" s="342">
        <v>0</v>
      </c>
      <c r="G96" s="351" t="s">
        <v>888</v>
      </c>
      <c r="H96" s="333">
        <v>10</v>
      </c>
      <c r="I96" s="325">
        <f t="shared" si="125"/>
        <v>99</v>
      </c>
      <c r="L96" s="331">
        <v>1334</v>
      </c>
      <c r="N96" s="328">
        <f t="shared" si="126"/>
        <v>1334</v>
      </c>
      <c r="O96" s="328">
        <f t="shared" si="127"/>
        <v>11.116666666666667</v>
      </c>
      <c r="P96" s="328">
        <f t="shared" si="128"/>
        <v>0</v>
      </c>
      <c r="Q96" s="325">
        <f t="shared" si="129"/>
        <v>0</v>
      </c>
      <c r="R96" s="328">
        <f t="shared" si="130"/>
        <v>0</v>
      </c>
      <c r="S96" s="340">
        <v>1</v>
      </c>
      <c r="T96" s="328">
        <f t="shared" si="131"/>
        <v>0</v>
      </c>
      <c r="V96" s="328">
        <f t="shared" si="132"/>
        <v>1334</v>
      </c>
      <c r="W96" s="328">
        <f t="shared" si="133"/>
        <v>1334</v>
      </c>
      <c r="X96" s="340">
        <v>1</v>
      </c>
      <c r="Y96" s="328">
        <f t="shared" si="134"/>
        <v>1334</v>
      </c>
      <c r="Z96" s="328">
        <f t="shared" si="135"/>
        <v>1334</v>
      </c>
      <c r="AA96" s="328">
        <f t="shared" si="136"/>
        <v>0</v>
      </c>
      <c r="AB96" s="328">
        <f t="shared" si="142"/>
        <v>0</v>
      </c>
      <c r="AC96" s="339">
        <f t="shared" si="137"/>
        <v>89.5</v>
      </c>
      <c r="AD96" s="325">
        <f t="shared" si="138"/>
        <v>122.75</v>
      </c>
      <c r="AE96" s="339">
        <f t="shared" si="139"/>
        <v>99.5</v>
      </c>
      <c r="AF96" s="325">
        <f t="shared" si="140"/>
        <v>121.75</v>
      </c>
      <c r="AG96" s="338">
        <f t="shared" si="141"/>
        <v>-8.3333333333333329E-2</v>
      </c>
    </row>
    <row r="97" spans="2:33">
      <c r="B97" s="333" t="s">
        <v>1024</v>
      </c>
      <c r="C97" s="333">
        <v>89</v>
      </c>
      <c r="D97" s="333">
        <v>7</v>
      </c>
      <c r="E97" s="342">
        <v>0</v>
      </c>
      <c r="G97" s="351" t="s">
        <v>888</v>
      </c>
      <c r="H97" s="333">
        <v>10</v>
      </c>
      <c r="I97" s="325">
        <f t="shared" si="125"/>
        <v>99</v>
      </c>
      <c r="L97" s="331">
        <v>1232</v>
      </c>
      <c r="N97" s="328">
        <f t="shared" si="126"/>
        <v>1232</v>
      </c>
      <c r="O97" s="328">
        <f t="shared" si="127"/>
        <v>10.266666666666667</v>
      </c>
      <c r="P97" s="328">
        <f t="shared" si="128"/>
        <v>0</v>
      </c>
      <c r="Q97" s="325">
        <f t="shared" si="129"/>
        <v>0</v>
      </c>
      <c r="R97" s="328">
        <f t="shared" si="130"/>
        <v>0</v>
      </c>
      <c r="S97" s="340">
        <v>1</v>
      </c>
      <c r="T97" s="328">
        <f t="shared" si="131"/>
        <v>0</v>
      </c>
      <c r="V97" s="328">
        <f t="shared" si="132"/>
        <v>1232</v>
      </c>
      <c r="W97" s="328">
        <f t="shared" si="133"/>
        <v>1232</v>
      </c>
      <c r="X97" s="340">
        <v>1</v>
      </c>
      <c r="Y97" s="328">
        <f t="shared" si="134"/>
        <v>1232</v>
      </c>
      <c r="Z97" s="328">
        <f t="shared" si="135"/>
        <v>1232</v>
      </c>
      <c r="AA97" s="328">
        <f t="shared" si="136"/>
        <v>0</v>
      </c>
      <c r="AB97" s="328">
        <f t="shared" si="142"/>
        <v>0</v>
      </c>
      <c r="AC97" s="339">
        <f t="shared" si="137"/>
        <v>89.5</v>
      </c>
      <c r="AD97" s="325">
        <f t="shared" si="138"/>
        <v>122.75</v>
      </c>
      <c r="AE97" s="339">
        <f t="shared" si="139"/>
        <v>99.5</v>
      </c>
      <c r="AF97" s="325">
        <f t="shared" si="140"/>
        <v>121.75</v>
      </c>
      <c r="AG97" s="338">
        <f t="shared" si="141"/>
        <v>-8.3333333333333329E-2</v>
      </c>
    </row>
    <row r="98" spans="2:33">
      <c r="B98" s="333" t="s">
        <v>1013</v>
      </c>
      <c r="C98" s="333">
        <v>89</v>
      </c>
      <c r="D98" s="333">
        <v>8</v>
      </c>
      <c r="E98" s="342">
        <v>0</v>
      </c>
      <c r="G98" s="351" t="s">
        <v>888</v>
      </c>
      <c r="H98" s="333">
        <v>10</v>
      </c>
      <c r="I98" s="325">
        <f t="shared" si="125"/>
        <v>99</v>
      </c>
      <c r="L98" s="331">
        <v>1297</v>
      </c>
      <c r="N98" s="328">
        <f t="shared" si="126"/>
        <v>1297</v>
      </c>
      <c r="O98" s="328">
        <f t="shared" si="127"/>
        <v>10.808333333333332</v>
      </c>
      <c r="P98" s="328">
        <f t="shared" si="128"/>
        <v>0</v>
      </c>
      <c r="Q98" s="325">
        <f t="shared" si="129"/>
        <v>0</v>
      </c>
      <c r="R98" s="328">
        <f t="shared" si="130"/>
        <v>0</v>
      </c>
      <c r="S98" s="340">
        <v>1</v>
      </c>
      <c r="T98" s="328">
        <f t="shared" si="131"/>
        <v>0</v>
      </c>
      <c r="V98" s="328">
        <f t="shared" si="132"/>
        <v>1297</v>
      </c>
      <c r="W98" s="328">
        <f t="shared" si="133"/>
        <v>1297</v>
      </c>
      <c r="X98" s="340">
        <v>1</v>
      </c>
      <c r="Y98" s="328">
        <f t="shared" si="134"/>
        <v>1297</v>
      </c>
      <c r="Z98" s="328">
        <f t="shared" si="135"/>
        <v>1297</v>
      </c>
      <c r="AA98" s="328">
        <f t="shared" si="136"/>
        <v>0</v>
      </c>
      <c r="AB98" s="328">
        <f t="shared" si="142"/>
        <v>0</v>
      </c>
      <c r="AC98" s="339">
        <f t="shared" si="137"/>
        <v>89.583333333333329</v>
      </c>
      <c r="AD98" s="325">
        <f t="shared" si="138"/>
        <v>122.75</v>
      </c>
      <c r="AE98" s="339">
        <f t="shared" si="139"/>
        <v>99.583333333333329</v>
      </c>
      <c r="AF98" s="325">
        <f t="shared" si="140"/>
        <v>121.75</v>
      </c>
      <c r="AG98" s="338">
        <f t="shared" si="141"/>
        <v>-8.3333333333333329E-2</v>
      </c>
    </row>
    <row r="99" spans="2:33">
      <c r="B99" s="333" t="s">
        <v>1023</v>
      </c>
      <c r="C99" s="333">
        <v>89</v>
      </c>
      <c r="D99" s="333">
        <v>9</v>
      </c>
      <c r="E99" s="342">
        <v>0</v>
      </c>
      <c r="G99" s="351" t="s">
        <v>888</v>
      </c>
      <c r="H99" s="333">
        <v>10</v>
      </c>
      <c r="I99" s="325">
        <f t="shared" si="125"/>
        <v>99</v>
      </c>
      <c r="L99" s="331">
        <v>3477</v>
      </c>
      <c r="N99" s="328">
        <f t="shared" si="126"/>
        <v>3477</v>
      </c>
      <c r="O99" s="328">
        <f t="shared" si="127"/>
        <v>28.974999999999998</v>
      </c>
      <c r="P99" s="328">
        <f t="shared" si="128"/>
        <v>0</v>
      </c>
      <c r="Q99" s="325">
        <f t="shared" si="129"/>
        <v>0</v>
      </c>
      <c r="R99" s="328">
        <f t="shared" si="130"/>
        <v>0</v>
      </c>
      <c r="S99" s="340">
        <v>1</v>
      </c>
      <c r="T99" s="328">
        <f t="shared" si="131"/>
        <v>0</v>
      </c>
      <c r="V99" s="328">
        <f t="shared" si="132"/>
        <v>3477</v>
      </c>
      <c r="W99" s="328">
        <f t="shared" si="133"/>
        <v>3477</v>
      </c>
      <c r="X99" s="340">
        <v>1</v>
      </c>
      <c r="Y99" s="328">
        <f t="shared" si="134"/>
        <v>3477</v>
      </c>
      <c r="Z99" s="328">
        <f t="shared" si="135"/>
        <v>3477</v>
      </c>
      <c r="AA99" s="328">
        <f t="shared" si="136"/>
        <v>0</v>
      </c>
      <c r="AB99" s="328">
        <f t="shared" si="142"/>
        <v>0</v>
      </c>
      <c r="AC99" s="339">
        <f t="shared" si="137"/>
        <v>89.666666666666671</v>
      </c>
      <c r="AD99" s="325">
        <f t="shared" si="138"/>
        <v>122.75</v>
      </c>
      <c r="AE99" s="339">
        <f t="shared" si="139"/>
        <v>99.666666666666671</v>
      </c>
      <c r="AF99" s="325">
        <f t="shared" si="140"/>
        <v>121.75</v>
      </c>
      <c r="AG99" s="338">
        <f t="shared" si="141"/>
        <v>-8.3333333333333329E-2</v>
      </c>
    </row>
    <row r="100" spans="2:33">
      <c r="B100" s="333" t="s">
        <v>1005</v>
      </c>
      <c r="C100" s="333">
        <v>90</v>
      </c>
      <c r="D100" s="333">
        <v>5</v>
      </c>
      <c r="E100" s="342">
        <v>0</v>
      </c>
      <c r="G100" s="351" t="s">
        <v>888</v>
      </c>
      <c r="H100" s="333">
        <v>10</v>
      </c>
      <c r="I100" s="325">
        <f t="shared" si="125"/>
        <v>100</v>
      </c>
      <c r="L100" s="331">
        <v>3106</v>
      </c>
      <c r="N100" s="328">
        <f t="shared" si="126"/>
        <v>3106</v>
      </c>
      <c r="O100" s="328">
        <f t="shared" si="127"/>
        <v>25.883333333333336</v>
      </c>
      <c r="P100" s="328">
        <f t="shared" si="128"/>
        <v>0</v>
      </c>
      <c r="Q100" s="325">
        <f t="shared" si="129"/>
        <v>0</v>
      </c>
      <c r="R100" s="328">
        <f t="shared" si="130"/>
        <v>0</v>
      </c>
      <c r="S100" s="340">
        <v>1</v>
      </c>
      <c r="T100" s="328">
        <f t="shared" si="131"/>
        <v>0</v>
      </c>
      <c r="V100" s="328">
        <f t="shared" si="132"/>
        <v>3106</v>
      </c>
      <c r="W100" s="328">
        <f t="shared" si="133"/>
        <v>3106</v>
      </c>
      <c r="X100" s="340">
        <v>1</v>
      </c>
      <c r="Y100" s="328">
        <f t="shared" si="134"/>
        <v>3106</v>
      </c>
      <c r="Z100" s="328">
        <f t="shared" si="135"/>
        <v>3106</v>
      </c>
      <c r="AA100" s="328">
        <f t="shared" si="136"/>
        <v>0</v>
      </c>
      <c r="AB100" s="328">
        <f t="shared" si="142"/>
        <v>0</v>
      </c>
      <c r="AC100" s="339">
        <f t="shared" si="137"/>
        <v>90.333333333333329</v>
      </c>
      <c r="AD100" s="325">
        <f t="shared" si="138"/>
        <v>122.75</v>
      </c>
      <c r="AE100" s="339">
        <f t="shared" si="139"/>
        <v>100.33333333333333</v>
      </c>
      <c r="AF100" s="325">
        <f t="shared" si="140"/>
        <v>121.75</v>
      </c>
      <c r="AG100" s="338">
        <f t="shared" si="141"/>
        <v>-8.3333333333333329E-2</v>
      </c>
    </row>
    <row r="101" spans="2:33">
      <c r="B101" s="333" t="s">
        <v>1010</v>
      </c>
      <c r="C101" s="333">
        <v>90</v>
      </c>
      <c r="D101" s="333">
        <v>5</v>
      </c>
      <c r="E101" s="342">
        <v>0</v>
      </c>
      <c r="G101" s="351" t="s">
        <v>888</v>
      </c>
      <c r="H101" s="333">
        <v>10</v>
      </c>
      <c r="I101" s="325">
        <f t="shared" si="125"/>
        <v>100</v>
      </c>
      <c r="L101" s="331">
        <v>2645</v>
      </c>
      <c r="N101" s="328">
        <f t="shared" si="126"/>
        <v>2645</v>
      </c>
      <c r="O101" s="328">
        <f t="shared" si="127"/>
        <v>22.041666666666668</v>
      </c>
      <c r="P101" s="328">
        <f t="shared" si="128"/>
        <v>0</v>
      </c>
      <c r="Q101" s="325">
        <f t="shared" si="129"/>
        <v>0</v>
      </c>
      <c r="R101" s="328">
        <f t="shared" si="130"/>
        <v>0</v>
      </c>
      <c r="S101" s="340">
        <v>1</v>
      </c>
      <c r="T101" s="328">
        <f t="shared" si="131"/>
        <v>0</v>
      </c>
      <c r="V101" s="328">
        <f t="shared" si="132"/>
        <v>2645</v>
      </c>
      <c r="W101" s="328">
        <f t="shared" si="133"/>
        <v>2645</v>
      </c>
      <c r="X101" s="340">
        <v>1</v>
      </c>
      <c r="Y101" s="328">
        <f t="shared" si="134"/>
        <v>2645</v>
      </c>
      <c r="Z101" s="328">
        <f t="shared" si="135"/>
        <v>2645</v>
      </c>
      <c r="AA101" s="328">
        <f t="shared" si="136"/>
        <v>0</v>
      </c>
      <c r="AB101" s="328">
        <f t="shared" si="142"/>
        <v>0</v>
      </c>
      <c r="AC101" s="339">
        <f t="shared" si="137"/>
        <v>90.333333333333329</v>
      </c>
      <c r="AD101" s="325">
        <f t="shared" si="138"/>
        <v>122.75</v>
      </c>
      <c r="AE101" s="339">
        <f t="shared" si="139"/>
        <v>100.33333333333333</v>
      </c>
      <c r="AF101" s="325">
        <f t="shared" si="140"/>
        <v>121.75</v>
      </c>
      <c r="AG101" s="338">
        <f t="shared" si="141"/>
        <v>-8.3333333333333329E-2</v>
      </c>
    </row>
    <row r="102" spans="2:33">
      <c r="B102" s="333" t="s">
        <v>1022</v>
      </c>
      <c r="C102" s="333">
        <v>91</v>
      </c>
      <c r="D102" s="333">
        <v>4</v>
      </c>
      <c r="E102" s="342">
        <v>0</v>
      </c>
      <c r="G102" s="351" t="s">
        <v>888</v>
      </c>
      <c r="H102" s="333">
        <v>10</v>
      </c>
      <c r="I102" s="325">
        <f t="shared" si="125"/>
        <v>101</v>
      </c>
      <c r="L102" s="331">
        <v>4370</v>
      </c>
      <c r="N102" s="328">
        <f t="shared" si="126"/>
        <v>4370</v>
      </c>
      <c r="O102" s="328">
        <f t="shared" si="127"/>
        <v>36.416666666666664</v>
      </c>
      <c r="P102" s="328">
        <f t="shared" si="128"/>
        <v>0</v>
      </c>
      <c r="Q102" s="325">
        <f t="shared" si="129"/>
        <v>0</v>
      </c>
      <c r="R102" s="328">
        <f t="shared" si="130"/>
        <v>0</v>
      </c>
      <c r="S102" s="340">
        <v>1</v>
      </c>
      <c r="T102" s="328">
        <f t="shared" si="131"/>
        <v>0</v>
      </c>
      <c r="V102" s="328">
        <f t="shared" si="132"/>
        <v>4370</v>
      </c>
      <c r="W102" s="328">
        <f t="shared" si="133"/>
        <v>4370</v>
      </c>
      <c r="X102" s="340">
        <v>1</v>
      </c>
      <c r="Y102" s="328">
        <f t="shared" si="134"/>
        <v>4370</v>
      </c>
      <c r="Z102" s="328">
        <f t="shared" si="135"/>
        <v>4370</v>
      </c>
      <c r="AA102" s="328">
        <f t="shared" si="136"/>
        <v>0</v>
      </c>
      <c r="AB102" s="328">
        <f t="shared" si="142"/>
        <v>0</v>
      </c>
      <c r="AC102" s="339">
        <f t="shared" si="137"/>
        <v>91.25</v>
      </c>
      <c r="AD102" s="325">
        <f t="shared" si="138"/>
        <v>122.75</v>
      </c>
      <c r="AE102" s="339">
        <f t="shared" si="139"/>
        <v>101.25</v>
      </c>
      <c r="AF102" s="325">
        <f t="shared" si="140"/>
        <v>121.75</v>
      </c>
      <c r="AG102" s="338">
        <f t="shared" si="141"/>
        <v>-8.3333333333333329E-2</v>
      </c>
    </row>
    <row r="103" spans="2:33">
      <c r="B103" s="333" t="s">
        <v>1010</v>
      </c>
      <c r="C103" s="333">
        <v>91</v>
      </c>
      <c r="D103" s="333">
        <v>6</v>
      </c>
      <c r="E103" s="342">
        <v>0</v>
      </c>
      <c r="G103" s="351" t="s">
        <v>888</v>
      </c>
      <c r="H103" s="333">
        <v>10</v>
      </c>
      <c r="I103" s="325">
        <f t="shared" ref="I103:I134" si="143">C103+H103</f>
        <v>101</v>
      </c>
      <c r="L103" s="331">
        <v>2579</v>
      </c>
      <c r="N103" s="328">
        <f t="shared" ref="N103:N134" si="144">L103-L103*E103</f>
        <v>2579</v>
      </c>
      <c r="O103" s="328">
        <f t="shared" ref="O103:O134" si="145">N103/H103/12</f>
        <v>21.491666666666664</v>
      </c>
      <c r="P103" s="328">
        <f t="shared" ref="P103:P134" si="146">IF(M103&gt;0,0,IF(OR(AC103&gt;AD103,AE103&lt;AF103),0,IF(AND(AE103&gt;=AF103,AE103&lt;=AD103),O103*((AE103-AF103)*12),IF(AND(AF103&lt;=AC103,AD103&gt;=AC103),((AD103-AC103)*12)*O103,IF(AE103&gt;AD103,12*O103,0)))))</f>
        <v>0</v>
      </c>
      <c r="Q103" s="325">
        <f t="shared" ref="Q103:Q134" si="147">IF(M103=0,0,IF(AND(AG103&gt;=AF103,AG103&lt;=AE103),((AG103-AF103)*12)*O103,0))</f>
        <v>0</v>
      </c>
      <c r="R103" s="328">
        <f t="shared" ref="R103:R134" si="148">IF(Q103&gt;0,Q103,P103)</f>
        <v>0</v>
      </c>
      <c r="S103" s="340">
        <v>1</v>
      </c>
      <c r="T103" s="328">
        <f t="shared" ref="T103:T134" si="149">S103*SUM(P103:Q103)</f>
        <v>0</v>
      </c>
      <c r="V103" s="328">
        <f t="shared" ref="V103:V134" si="150">IF(AC103&gt;AD103,0,IF(AE103&lt;AF103,N103,IF(AND(AE103&gt;=AF103,AE103&lt;=AD103),(N103-R103),IF(AND(AF103&lt;=AC103,AD103&gt;=AC103),0,IF(AE103&gt;AD103,((AF103-AC103)*12)*O103,0)))))</f>
        <v>2579</v>
      </c>
      <c r="W103" s="328">
        <f t="shared" ref="W103:W134" si="151">V103*S103</f>
        <v>2579</v>
      </c>
      <c r="X103" s="340">
        <v>1</v>
      </c>
      <c r="Y103" s="328">
        <f t="shared" ref="Y103:Y134" si="152">W103*X103</f>
        <v>2579</v>
      </c>
      <c r="Z103" s="328">
        <f t="shared" ref="Z103:Z134" si="153">IF(M103&gt;0,0,Y103+T103*X103)*X103</f>
        <v>2579</v>
      </c>
      <c r="AA103" s="328">
        <f t="shared" ref="AA103:AA134" si="154">IF(M103&gt;0,(L103-Y103)/2,IF(AC103&gt;=AF103,(((L103*S103)*X103)-Z103)/2,((((L103*S103)*X103)-Y103)+(((L103*S103)*X103)-Z103))/2))</f>
        <v>0</v>
      </c>
      <c r="AB103" s="328">
        <f t="shared" si="142"/>
        <v>0</v>
      </c>
      <c r="AC103" s="339">
        <f t="shared" ref="AC103:AC134" si="155">$C103+(($D103-1)/12)</f>
        <v>91.416666666666671</v>
      </c>
      <c r="AD103" s="325">
        <f t="shared" ref="AD103:AD134" si="156">($N$5+1)-($N$2/12)</f>
        <v>122.75</v>
      </c>
      <c r="AE103" s="339">
        <f t="shared" ref="AE103:AE134" si="157">$I103+(($D103-1)/12)</f>
        <v>101.41666666666667</v>
      </c>
      <c r="AF103" s="325">
        <f t="shared" ref="AF103:AF134" si="158">$N$4+($N$3/12)</f>
        <v>121.75</v>
      </c>
      <c r="AG103" s="338">
        <f t="shared" ref="AG103:AG134" si="159">$J103+(($K103-1)/12)</f>
        <v>-8.3333333333333329E-2</v>
      </c>
    </row>
    <row r="104" spans="2:33">
      <c r="B104" s="333" t="s">
        <v>1005</v>
      </c>
      <c r="C104" s="333">
        <v>91</v>
      </c>
      <c r="D104" s="333">
        <v>6</v>
      </c>
      <c r="E104" s="342">
        <v>0</v>
      </c>
      <c r="G104" s="351" t="s">
        <v>888</v>
      </c>
      <c r="H104" s="333">
        <v>10</v>
      </c>
      <c r="I104" s="325">
        <f t="shared" si="143"/>
        <v>101</v>
      </c>
      <c r="L104" s="331">
        <v>3010</v>
      </c>
      <c r="N104" s="328">
        <f t="shared" si="144"/>
        <v>3010</v>
      </c>
      <c r="O104" s="328">
        <f t="shared" si="145"/>
        <v>25.083333333333332</v>
      </c>
      <c r="P104" s="328">
        <f t="shared" si="146"/>
        <v>0</v>
      </c>
      <c r="Q104" s="325">
        <f t="shared" si="147"/>
        <v>0</v>
      </c>
      <c r="R104" s="328">
        <f t="shared" si="148"/>
        <v>0</v>
      </c>
      <c r="S104" s="340">
        <v>1</v>
      </c>
      <c r="T104" s="328">
        <f t="shared" si="149"/>
        <v>0</v>
      </c>
      <c r="V104" s="328">
        <f t="shared" si="150"/>
        <v>3010</v>
      </c>
      <c r="W104" s="328">
        <f t="shared" si="151"/>
        <v>3010</v>
      </c>
      <c r="X104" s="340">
        <v>1</v>
      </c>
      <c r="Y104" s="328">
        <f t="shared" si="152"/>
        <v>3010</v>
      </c>
      <c r="Z104" s="328">
        <f t="shared" si="153"/>
        <v>3010</v>
      </c>
      <c r="AA104" s="328">
        <f t="shared" si="154"/>
        <v>0</v>
      </c>
      <c r="AB104" s="328">
        <f t="shared" si="142"/>
        <v>0</v>
      </c>
      <c r="AC104" s="339">
        <f t="shared" si="155"/>
        <v>91.416666666666671</v>
      </c>
      <c r="AD104" s="325">
        <f t="shared" si="156"/>
        <v>122.75</v>
      </c>
      <c r="AE104" s="339">
        <f t="shared" si="157"/>
        <v>101.41666666666667</v>
      </c>
      <c r="AF104" s="325">
        <f t="shared" si="158"/>
        <v>121.75</v>
      </c>
      <c r="AG104" s="338">
        <f t="shared" si="159"/>
        <v>-8.3333333333333329E-2</v>
      </c>
    </row>
    <row r="105" spans="2:33">
      <c r="B105" s="333" t="s">
        <v>1013</v>
      </c>
      <c r="C105" s="333">
        <v>92</v>
      </c>
      <c r="D105" s="333">
        <v>4</v>
      </c>
      <c r="E105" s="342">
        <v>0</v>
      </c>
      <c r="G105" s="351" t="s">
        <v>888</v>
      </c>
      <c r="H105" s="333">
        <v>10</v>
      </c>
      <c r="I105" s="325">
        <f t="shared" si="143"/>
        <v>102</v>
      </c>
      <c r="L105" s="331">
        <v>1364</v>
      </c>
      <c r="N105" s="328">
        <f t="shared" si="144"/>
        <v>1364</v>
      </c>
      <c r="O105" s="328">
        <f t="shared" si="145"/>
        <v>11.366666666666667</v>
      </c>
      <c r="P105" s="328">
        <f t="shared" si="146"/>
        <v>0</v>
      </c>
      <c r="Q105" s="325">
        <f t="shared" si="147"/>
        <v>0</v>
      </c>
      <c r="R105" s="328">
        <f t="shared" si="148"/>
        <v>0</v>
      </c>
      <c r="S105" s="340">
        <v>1</v>
      </c>
      <c r="T105" s="328">
        <f t="shared" si="149"/>
        <v>0</v>
      </c>
      <c r="V105" s="328">
        <f t="shared" si="150"/>
        <v>1364</v>
      </c>
      <c r="W105" s="328">
        <f t="shared" si="151"/>
        <v>1364</v>
      </c>
      <c r="X105" s="340">
        <v>1</v>
      </c>
      <c r="Y105" s="328">
        <f t="shared" si="152"/>
        <v>1364</v>
      </c>
      <c r="Z105" s="328">
        <f t="shared" si="153"/>
        <v>1364</v>
      </c>
      <c r="AA105" s="328">
        <f t="shared" si="154"/>
        <v>0</v>
      </c>
      <c r="AB105" s="328">
        <f t="shared" si="142"/>
        <v>0</v>
      </c>
      <c r="AC105" s="339">
        <f t="shared" si="155"/>
        <v>92.25</v>
      </c>
      <c r="AD105" s="325">
        <f t="shared" si="156"/>
        <v>122.75</v>
      </c>
      <c r="AE105" s="339">
        <f t="shared" si="157"/>
        <v>102.25</v>
      </c>
      <c r="AF105" s="325">
        <f t="shared" si="158"/>
        <v>121.75</v>
      </c>
      <c r="AG105" s="338">
        <f t="shared" si="159"/>
        <v>-8.3333333333333329E-2</v>
      </c>
    </row>
    <row r="106" spans="2:33">
      <c r="B106" s="333" t="s">
        <v>1021</v>
      </c>
      <c r="C106" s="333">
        <v>92</v>
      </c>
      <c r="D106" s="333">
        <v>4</v>
      </c>
      <c r="E106" s="342">
        <v>0</v>
      </c>
      <c r="G106" s="351" t="s">
        <v>888</v>
      </c>
      <c r="H106" s="333">
        <v>10</v>
      </c>
      <c r="I106" s="325">
        <f t="shared" si="143"/>
        <v>102</v>
      </c>
      <c r="L106" s="331">
        <v>2769</v>
      </c>
      <c r="N106" s="328">
        <f t="shared" si="144"/>
        <v>2769</v>
      </c>
      <c r="O106" s="328">
        <f t="shared" si="145"/>
        <v>23.074999999999999</v>
      </c>
      <c r="P106" s="328">
        <f t="shared" si="146"/>
        <v>0</v>
      </c>
      <c r="Q106" s="325">
        <f t="shared" si="147"/>
        <v>0</v>
      </c>
      <c r="R106" s="328">
        <f t="shared" si="148"/>
        <v>0</v>
      </c>
      <c r="S106" s="340">
        <v>1</v>
      </c>
      <c r="T106" s="328">
        <f t="shared" si="149"/>
        <v>0</v>
      </c>
      <c r="V106" s="328">
        <f t="shared" si="150"/>
        <v>2769</v>
      </c>
      <c r="W106" s="328">
        <f t="shared" si="151"/>
        <v>2769</v>
      </c>
      <c r="X106" s="340">
        <v>1</v>
      </c>
      <c r="Y106" s="328">
        <f t="shared" si="152"/>
        <v>2769</v>
      </c>
      <c r="Z106" s="328">
        <f t="shared" si="153"/>
        <v>2769</v>
      </c>
      <c r="AA106" s="328">
        <f t="shared" si="154"/>
        <v>0</v>
      </c>
      <c r="AB106" s="328">
        <f t="shared" si="142"/>
        <v>0</v>
      </c>
      <c r="AC106" s="339">
        <f t="shared" si="155"/>
        <v>92.25</v>
      </c>
      <c r="AD106" s="325">
        <f t="shared" si="156"/>
        <v>122.75</v>
      </c>
      <c r="AE106" s="339">
        <f t="shared" si="157"/>
        <v>102.25</v>
      </c>
      <c r="AF106" s="325">
        <f t="shared" si="158"/>
        <v>121.75</v>
      </c>
      <c r="AG106" s="338">
        <f t="shared" si="159"/>
        <v>-8.3333333333333329E-2</v>
      </c>
    </row>
    <row r="107" spans="2:33">
      <c r="B107" s="333" t="s">
        <v>1020</v>
      </c>
      <c r="C107" s="333">
        <v>92</v>
      </c>
      <c r="D107" s="333">
        <v>5</v>
      </c>
      <c r="E107" s="342">
        <v>0</v>
      </c>
      <c r="G107" s="351" t="s">
        <v>888</v>
      </c>
      <c r="H107" s="333">
        <v>10</v>
      </c>
      <c r="I107" s="325">
        <f t="shared" si="143"/>
        <v>102</v>
      </c>
      <c r="L107" s="331">
        <v>1466</v>
      </c>
      <c r="N107" s="328">
        <f t="shared" si="144"/>
        <v>1466</v>
      </c>
      <c r="O107" s="328">
        <f t="shared" si="145"/>
        <v>12.216666666666667</v>
      </c>
      <c r="P107" s="328">
        <f t="shared" si="146"/>
        <v>0</v>
      </c>
      <c r="Q107" s="325">
        <f t="shared" si="147"/>
        <v>0</v>
      </c>
      <c r="R107" s="328">
        <f t="shared" si="148"/>
        <v>0</v>
      </c>
      <c r="S107" s="340">
        <v>1</v>
      </c>
      <c r="T107" s="328">
        <f t="shared" si="149"/>
        <v>0</v>
      </c>
      <c r="V107" s="328">
        <f t="shared" si="150"/>
        <v>1466</v>
      </c>
      <c r="W107" s="328">
        <f t="shared" si="151"/>
        <v>1466</v>
      </c>
      <c r="X107" s="340">
        <v>1</v>
      </c>
      <c r="Y107" s="328">
        <f t="shared" si="152"/>
        <v>1466</v>
      </c>
      <c r="Z107" s="328">
        <f t="shared" si="153"/>
        <v>1466</v>
      </c>
      <c r="AA107" s="328">
        <f t="shared" si="154"/>
        <v>0</v>
      </c>
      <c r="AB107" s="328">
        <f t="shared" si="142"/>
        <v>0</v>
      </c>
      <c r="AC107" s="339">
        <f t="shared" si="155"/>
        <v>92.333333333333329</v>
      </c>
      <c r="AD107" s="325">
        <f t="shared" si="156"/>
        <v>122.75</v>
      </c>
      <c r="AE107" s="339">
        <f t="shared" si="157"/>
        <v>102.33333333333333</v>
      </c>
      <c r="AF107" s="325">
        <f t="shared" si="158"/>
        <v>121.75</v>
      </c>
      <c r="AG107" s="338">
        <f t="shared" si="159"/>
        <v>-8.3333333333333329E-2</v>
      </c>
    </row>
    <row r="108" spans="2:33">
      <c r="B108" s="333" t="s">
        <v>1019</v>
      </c>
      <c r="C108" s="333">
        <v>92</v>
      </c>
      <c r="D108" s="333">
        <v>5</v>
      </c>
      <c r="E108" s="342">
        <v>0</v>
      </c>
      <c r="G108" s="351" t="s">
        <v>888</v>
      </c>
      <c r="H108" s="333">
        <v>10</v>
      </c>
      <c r="I108" s="325">
        <f t="shared" si="143"/>
        <v>102</v>
      </c>
      <c r="L108" s="331">
        <v>334</v>
      </c>
      <c r="N108" s="328">
        <f t="shared" si="144"/>
        <v>334</v>
      </c>
      <c r="O108" s="328">
        <f t="shared" si="145"/>
        <v>2.7833333333333332</v>
      </c>
      <c r="P108" s="328">
        <f t="shared" si="146"/>
        <v>0</v>
      </c>
      <c r="Q108" s="325">
        <f t="shared" si="147"/>
        <v>0</v>
      </c>
      <c r="R108" s="328">
        <f t="shared" si="148"/>
        <v>0</v>
      </c>
      <c r="S108" s="340">
        <v>1</v>
      </c>
      <c r="T108" s="328">
        <f t="shared" si="149"/>
        <v>0</v>
      </c>
      <c r="V108" s="328">
        <f t="shared" si="150"/>
        <v>334</v>
      </c>
      <c r="W108" s="328">
        <f t="shared" si="151"/>
        <v>334</v>
      </c>
      <c r="X108" s="340">
        <v>1</v>
      </c>
      <c r="Y108" s="328">
        <f t="shared" si="152"/>
        <v>334</v>
      </c>
      <c r="Z108" s="328">
        <f t="shared" si="153"/>
        <v>334</v>
      </c>
      <c r="AA108" s="328">
        <f t="shared" si="154"/>
        <v>0</v>
      </c>
      <c r="AB108" s="328">
        <f t="shared" si="142"/>
        <v>0</v>
      </c>
      <c r="AC108" s="339">
        <f t="shared" si="155"/>
        <v>92.333333333333329</v>
      </c>
      <c r="AD108" s="325">
        <f t="shared" si="156"/>
        <v>122.75</v>
      </c>
      <c r="AE108" s="339">
        <f t="shared" si="157"/>
        <v>102.33333333333333</v>
      </c>
      <c r="AF108" s="325">
        <f t="shared" si="158"/>
        <v>121.75</v>
      </c>
      <c r="AG108" s="338">
        <f t="shared" si="159"/>
        <v>-8.3333333333333329E-2</v>
      </c>
    </row>
    <row r="109" spans="2:33">
      <c r="B109" s="333" t="s">
        <v>999</v>
      </c>
      <c r="C109" s="333">
        <v>92</v>
      </c>
      <c r="D109" s="333">
        <v>5</v>
      </c>
      <c r="E109" s="342">
        <v>0</v>
      </c>
      <c r="G109" s="351" t="s">
        <v>888</v>
      </c>
      <c r="H109" s="333">
        <v>10</v>
      </c>
      <c r="I109" s="325">
        <f t="shared" si="143"/>
        <v>102</v>
      </c>
      <c r="L109" s="331">
        <v>1453</v>
      </c>
      <c r="N109" s="328">
        <f t="shared" si="144"/>
        <v>1453</v>
      </c>
      <c r="O109" s="328">
        <f t="shared" si="145"/>
        <v>12.108333333333334</v>
      </c>
      <c r="P109" s="328">
        <f t="shared" si="146"/>
        <v>0</v>
      </c>
      <c r="Q109" s="325">
        <f t="shared" si="147"/>
        <v>0</v>
      </c>
      <c r="R109" s="328">
        <f t="shared" si="148"/>
        <v>0</v>
      </c>
      <c r="S109" s="340">
        <v>1</v>
      </c>
      <c r="T109" s="328">
        <f t="shared" si="149"/>
        <v>0</v>
      </c>
      <c r="V109" s="328">
        <f t="shared" si="150"/>
        <v>1453</v>
      </c>
      <c r="W109" s="328">
        <f t="shared" si="151"/>
        <v>1453</v>
      </c>
      <c r="X109" s="340">
        <v>1</v>
      </c>
      <c r="Y109" s="328">
        <f t="shared" si="152"/>
        <v>1453</v>
      </c>
      <c r="Z109" s="328">
        <f t="shared" si="153"/>
        <v>1453</v>
      </c>
      <c r="AA109" s="328">
        <f t="shared" si="154"/>
        <v>0</v>
      </c>
      <c r="AB109" s="328">
        <f t="shared" si="142"/>
        <v>0</v>
      </c>
      <c r="AC109" s="339">
        <f t="shared" si="155"/>
        <v>92.333333333333329</v>
      </c>
      <c r="AD109" s="325">
        <f t="shared" si="156"/>
        <v>122.75</v>
      </c>
      <c r="AE109" s="339">
        <f t="shared" si="157"/>
        <v>102.33333333333333</v>
      </c>
      <c r="AF109" s="325">
        <f t="shared" si="158"/>
        <v>121.75</v>
      </c>
      <c r="AG109" s="338">
        <f t="shared" si="159"/>
        <v>-8.3333333333333329E-2</v>
      </c>
    </row>
    <row r="110" spans="2:33">
      <c r="B110" s="333" t="s">
        <v>1018</v>
      </c>
      <c r="C110" s="333">
        <v>93</v>
      </c>
      <c r="D110" s="333">
        <v>4</v>
      </c>
      <c r="E110" s="342">
        <v>0</v>
      </c>
      <c r="G110" s="351" t="s">
        <v>888</v>
      </c>
      <c r="H110" s="333">
        <v>10</v>
      </c>
      <c r="I110" s="325">
        <f t="shared" si="143"/>
        <v>103</v>
      </c>
      <c r="L110" s="331">
        <v>3506</v>
      </c>
      <c r="N110" s="328">
        <f t="shared" si="144"/>
        <v>3506</v>
      </c>
      <c r="O110" s="328">
        <f t="shared" si="145"/>
        <v>29.216666666666669</v>
      </c>
      <c r="P110" s="328">
        <f t="shared" si="146"/>
        <v>0</v>
      </c>
      <c r="Q110" s="325">
        <f t="shared" si="147"/>
        <v>0</v>
      </c>
      <c r="R110" s="328">
        <f t="shared" si="148"/>
        <v>0</v>
      </c>
      <c r="S110" s="340">
        <v>1</v>
      </c>
      <c r="T110" s="328">
        <f t="shared" si="149"/>
        <v>0</v>
      </c>
      <c r="V110" s="328">
        <f t="shared" si="150"/>
        <v>3506</v>
      </c>
      <c r="W110" s="328">
        <f t="shared" si="151"/>
        <v>3506</v>
      </c>
      <c r="X110" s="340">
        <v>1</v>
      </c>
      <c r="Y110" s="328">
        <f t="shared" si="152"/>
        <v>3506</v>
      </c>
      <c r="Z110" s="328">
        <f t="shared" si="153"/>
        <v>3506</v>
      </c>
      <c r="AA110" s="328">
        <f t="shared" si="154"/>
        <v>0</v>
      </c>
      <c r="AB110" s="328">
        <f t="shared" si="142"/>
        <v>0</v>
      </c>
      <c r="AC110" s="339">
        <f t="shared" si="155"/>
        <v>93.25</v>
      </c>
      <c r="AD110" s="325">
        <f t="shared" si="156"/>
        <v>122.75</v>
      </c>
      <c r="AE110" s="339">
        <f t="shared" si="157"/>
        <v>103.25</v>
      </c>
      <c r="AF110" s="325">
        <f t="shared" si="158"/>
        <v>121.75</v>
      </c>
      <c r="AG110" s="338">
        <f t="shared" si="159"/>
        <v>-8.3333333333333329E-2</v>
      </c>
    </row>
    <row r="111" spans="2:33">
      <c r="B111" s="333" t="s">
        <v>1009</v>
      </c>
      <c r="C111" s="333">
        <v>93</v>
      </c>
      <c r="D111" s="333">
        <v>4</v>
      </c>
      <c r="E111" s="342">
        <v>0</v>
      </c>
      <c r="G111" s="351" t="s">
        <v>888</v>
      </c>
      <c r="H111" s="333">
        <v>10</v>
      </c>
      <c r="I111" s="325">
        <f t="shared" si="143"/>
        <v>103</v>
      </c>
      <c r="L111" s="331">
        <v>1818</v>
      </c>
      <c r="N111" s="328">
        <f t="shared" si="144"/>
        <v>1818</v>
      </c>
      <c r="O111" s="328">
        <f t="shared" si="145"/>
        <v>15.15</v>
      </c>
      <c r="P111" s="328">
        <f t="shared" si="146"/>
        <v>0</v>
      </c>
      <c r="Q111" s="325">
        <f t="shared" si="147"/>
        <v>0</v>
      </c>
      <c r="R111" s="328">
        <f t="shared" si="148"/>
        <v>0</v>
      </c>
      <c r="S111" s="340">
        <v>1</v>
      </c>
      <c r="T111" s="328">
        <f t="shared" si="149"/>
        <v>0</v>
      </c>
      <c r="V111" s="328">
        <f t="shared" si="150"/>
        <v>1818</v>
      </c>
      <c r="W111" s="328">
        <f t="shared" si="151"/>
        <v>1818</v>
      </c>
      <c r="X111" s="340">
        <v>1</v>
      </c>
      <c r="Y111" s="328">
        <f t="shared" si="152"/>
        <v>1818</v>
      </c>
      <c r="Z111" s="328">
        <f t="shared" si="153"/>
        <v>1818</v>
      </c>
      <c r="AA111" s="328">
        <f t="shared" si="154"/>
        <v>0</v>
      </c>
      <c r="AB111" s="328">
        <f t="shared" si="142"/>
        <v>0</v>
      </c>
      <c r="AC111" s="339">
        <f t="shared" si="155"/>
        <v>93.25</v>
      </c>
      <c r="AD111" s="325">
        <f t="shared" si="156"/>
        <v>122.75</v>
      </c>
      <c r="AE111" s="339">
        <f t="shared" si="157"/>
        <v>103.25</v>
      </c>
      <c r="AF111" s="325">
        <f t="shared" si="158"/>
        <v>121.75</v>
      </c>
      <c r="AG111" s="338">
        <f t="shared" si="159"/>
        <v>-8.3333333333333329E-2</v>
      </c>
    </row>
    <row r="112" spans="2:33">
      <c r="B112" s="333" t="s">
        <v>1011</v>
      </c>
      <c r="C112" s="333">
        <v>93</v>
      </c>
      <c r="D112" s="333">
        <v>4</v>
      </c>
      <c r="E112" s="342">
        <v>0</v>
      </c>
      <c r="G112" s="351" t="s">
        <v>888</v>
      </c>
      <c r="H112" s="333">
        <v>10</v>
      </c>
      <c r="I112" s="325">
        <f t="shared" si="143"/>
        <v>103</v>
      </c>
      <c r="L112" s="331">
        <v>3246</v>
      </c>
      <c r="N112" s="328">
        <f t="shared" si="144"/>
        <v>3246</v>
      </c>
      <c r="O112" s="328">
        <f t="shared" si="145"/>
        <v>27.05</v>
      </c>
      <c r="P112" s="328">
        <f t="shared" si="146"/>
        <v>0</v>
      </c>
      <c r="Q112" s="325">
        <f t="shared" si="147"/>
        <v>0</v>
      </c>
      <c r="R112" s="328">
        <f t="shared" si="148"/>
        <v>0</v>
      </c>
      <c r="S112" s="340">
        <v>1</v>
      </c>
      <c r="T112" s="328">
        <f t="shared" si="149"/>
        <v>0</v>
      </c>
      <c r="V112" s="328">
        <f t="shared" si="150"/>
        <v>3246</v>
      </c>
      <c r="W112" s="328">
        <f t="shared" si="151"/>
        <v>3246</v>
      </c>
      <c r="X112" s="340">
        <v>1</v>
      </c>
      <c r="Y112" s="328">
        <f t="shared" si="152"/>
        <v>3246</v>
      </c>
      <c r="Z112" s="328">
        <f t="shared" si="153"/>
        <v>3246</v>
      </c>
      <c r="AA112" s="328">
        <f t="shared" si="154"/>
        <v>0</v>
      </c>
      <c r="AB112" s="328">
        <f t="shared" si="142"/>
        <v>0</v>
      </c>
      <c r="AC112" s="339">
        <f t="shared" si="155"/>
        <v>93.25</v>
      </c>
      <c r="AD112" s="325">
        <f t="shared" si="156"/>
        <v>122.75</v>
      </c>
      <c r="AE112" s="339">
        <f t="shared" si="157"/>
        <v>103.25</v>
      </c>
      <c r="AF112" s="325">
        <f t="shared" si="158"/>
        <v>121.75</v>
      </c>
      <c r="AG112" s="338">
        <f t="shared" si="159"/>
        <v>-8.3333333333333329E-2</v>
      </c>
    </row>
    <row r="113" spans="2:33">
      <c r="B113" s="333" t="s">
        <v>1010</v>
      </c>
      <c r="C113" s="333">
        <v>93</v>
      </c>
      <c r="D113" s="333">
        <v>5</v>
      </c>
      <c r="E113" s="342">
        <v>0</v>
      </c>
      <c r="G113" s="351" t="s">
        <v>888</v>
      </c>
      <c r="H113" s="333">
        <v>10</v>
      </c>
      <c r="I113" s="325">
        <f t="shared" si="143"/>
        <v>103</v>
      </c>
      <c r="L113" s="331">
        <v>2705</v>
      </c>
      <c r="N113" s="328">
        <f t="shared" si="144"/>
        <v>2705</v>
      </c>
      <c r="O113" s="328">
        <f t="shared" si="145"/>
        <v>22.541666666666668</v>
      </c>
      <c r="P113" s="328">
        <f t="shared" si="146"/>
        <v>0</v>
      </c>
      <c r="Q113" s="325">
        <f t="shared" si="147"/>
        <v>0</v>
      </c>
      <c r="R113" s="328">
        <f t="shared" si="148"/>
        <v>0</v>
      </c>
      <c r="S113" s="340">
        <v>1</v>
      </c>
      <c r="T113" s="328">
        <f t="shared" si="149"/>
        <v>0</v>
      </c>
      <c r="V113" s="328">
        <f t="shared" si="150"/>
        <v>2705</v>
      </c>
      <c r="W113" s="328">
        <f t="shared" si="151"/>
        <v>2705</v>
      </c>
      <c r="X113" s="340">
        <v>1</v>
      </c>
      <c r="Y113" s="328">
        <f t="shared" si="152"/>
        <v>2705</v>
      </c>
      <c r="Z113" s="328">
        <f t="shared" si="153"/>
        <v>2705</v>
      </c>
      <c r="AA113" s="328">
        <f t="shared" si="154"/>
        <v>0</v>
      </c>
      <c r="AB113" s="328">
        <f t="shared" si="142"/>
        <v>0</v>
      </c>
      <c r="AC113" s="339">
        <f t="shared" si="155"/>
        <v>93.333333333333329</v>
      </c>
      <c r="AD113" s="325">
        <f t="shared" si="156"/>
        <v>122.75</v>
      </c>
      <c r="AE113" s="339">
        <f t="shared" si="157"/>
        <v>103.33333333333333</v>
      </c>
      <c r="AF113" s="325">
        <f t="shared" si="158"/>
        <v>121.75</v>
      </c>
      <c r="AG113" s="338">
        <f t="shared" si="159"/>
        <v>-8.3333333333333329E-2</v>
      </c>
    </row>
    <row r="114" spans="2:33">
      <c r="B114" s="333" t="s">
        <v>1005</v>
      </c>
      <c r="C114" s="333">
        <v>93</v>
      </c>
      <c r="D114" s="333">
        <v>5</v>
      </c>
      <c r="E114" s="342">
        <v>0</v>
      </c>
      <c r="G114" s="351" t="s">
        <v>888</v>
      </c>
      <c r="H114" s="333">
        <v>10</v>
      </c>
      <c r="I114" s="325">
        <f t="shared" si="143"/>
        <v>103</v>
      </c>
      <c r="L114" s="331">
        <v>2867</v>
      </c>
      <c r="N114" s="328">
        <f t="shared" si="144"/>
        <v>2867</v>
      </c>
      <c r="O114" s="328">
        <f t="shared" si="145"/>
        <v>23.891666666666666</v>
      </c>
      <c r="P114" s="328">
        <f t="shared" si="146"/>
        <v>0</v>
      </c>
      <c r="Q114" s="325">
        <f t="shared" si="147"/>
        <v>0</v>
      </c>
      <c r="R114" s="328">
        <f t="shared" si="148"/>
        <v>0</v>
      </c>
      <c r="S114" s="340">
        <v>1</v>
      </c>
      <c r="T114" s="328">
        <f t="shared" si="149"/>
        <v>0</v>
      </c>
      <c r="V114" s="328">
        <f t="shared" si="150"/>
        <v>2867</v>
      </c>
      <c r="W114" s="328">
        <f t="shared" si="151"/>
        <v>2867</v>
      </c>
      <c r="X114" s="340">
        <v>1</v>
      </c>
      <c r="Y114" s="328">
        <f t="shared" si="152"/>
        <v>2867</v>
      </c>
      <c r="Z114" s="328">
        <f t="shared" si="153"/>
        <v>2867</v>
      </c>
      <c r="AA114" s="328">
        <f t="shared" si="154"/>
        <v>0</v>
      </c>
      <c r="AB114" s="328">
        <f t="shared" si="142"/>
        <v>0</v>
      </c>
      <c r="AC114" s="339">
        <f t="shared" si="155"/>
        <v>93.333333333333329</v>
      </c>
      <c r="AD114" s="325">
        <f t="shared" si="156"/>
        <v>122.75</v>
      </c>
      <c r="AE114" s="339">
        <f t="shared" si="157"/>
        <v>103.33333333333333</v>
      </c>
      <c r="AF114" s="325">
        <f t="shared" si="158"/>
        <v>121.75</v>
      </c>
      <c r="AG114" s="338">
        <f t="shared" si="159"/>
        <v>-8.3333333333333329E-2</v>
      </c>
    </row>
    <row r="115" spans="2:33">
      <c r="B115" s="333" t="s">
        <v>999</v>
      </c>
      <c r="C115" s="333">
        <v>93</v>
      </c>
      <c r="D115" s="333">
        <v>5</v>
      </c>
      <c r="E115" s="342">
        <v>0</v>
      </c>
      <c r="G115" s="351" t="s">
        <v>888</v>
      </c>
      <c r="H115" s="333">
        <v>10</v>
      </c>
      <c r="I115" s="325">
        <f t="shared" si="143"/>
        <v>103</v>
      </c>
      <c r="L115" s="331">
        <v>1331</v>
      </c>
      <c r="N115" s="328">
        <f t="shared" si="144"/>
        <v>1331</v>
      </c>
      <c r="O115" s="328">
        <f t="shared" si="145"/>
        <v>11.091666666666667</v>
      </c>
      <c r="P115" s="328">
        <f t="shared" si="146"/>
        <v>0</v>
      </c>
      <c r="Q115" s="325">
        <f t="shared" si="147"/>
        <v>0</v>
      </c>
      <c r="R115" s="328">
        <f t="shared" si="148"/>
        <v>0</v>
      </c>
      <c r="S115" s="340">
        <v>1</v>
      </c>
      <c r="T115" s="328">
        <f t="shared" si="149"/>
        <v>0</v>
      </c>
      <c r="V115" s="328">
        <f t="shared" si="150"/>
        <v>1331</v>
      </c>
      <c r="W115" s="328">
        <f t="shared" si="151"/>
        <v>1331</v>
      </c>
      <c r="X115" s="340">
        <v>1</v>
      </c>
      <c r="Y115" s="328">
        <f t="shared" si="152"/>
        <v>1331</v>
      </c>
      <c r="Z115" s="328">
        <f t="shared" si="153"/>
        <v>1331</v>
      </c>
      <c r="AA115" s="328">
        <f t="shared" si="154"/>
        <v>0</v>
      </c>
      <c r="AB115" s="328">
        <f t="shared" si="142"/>
        <v>0</v>
      </c>
      <c r="AC115" s="339">
        <f t="shared" si="155"/>
        <v>93.333333333333329</v>
      </c>
      <c r="AD115" s="325">
        <f t="shared" si="156"/>
        <v>122.75</v>
      </c>
      <c r="AE115" s="339">
        <f t="shared" si="157"/>
        <v>103.33333333333333</v>
      </c>
      <c r="AF115" s="325">
        <f t="shared" si="158"/>
        <v>121.75</v>
      </c>
      <c r="AG115" s="338">
        <f t="shared" si="159"/>
        <v>-8.3333333333333329E-2</v>
      </c>
    </row>
    <row r="116" spans="2:33">
      <c r="B116" s="333" t="s">
        <v>1008</v>
      </c>
      <c r="C116" s="333">
        <v>94</v>
      </c>
      <c r="D116" s="333">
        <v>6</v>
      </c>
      <c r="E116" s="342">
        <v>0</v>
      </c>
      <c r="G116" s="351" t="s">
        <v>888</v>
      </c>
      <c r="H116" s="333">
        <v>10</v>
      </c>
      <c r="I116" s="325">
        <f t="shared" si="143"/>
        <v>104</v>
      </c>
      <c r="L116" s="331">
        <v>432</v>
      </c>
      <c r="N116" s="328">
        <f t="shared" si="144"/>
        <v>432</v>
      </c>
      <c r="O116" s="328">
        <f t="shared" si="145"/>
        <v>3.6</v>
      </c>
      <c r="P116" s="328">
        <f t="shared" si="146"/>
        <v>0</v>
      </c>
      <c r="Q116" s="325">
        <f t="shared" si="147"/>
        <v>0</v>
      </c>
      <c r="R116" s="328">
        <f t="shared" si="148"/>
        <v>0</v>
      </c>
      <c r="S116" s="340">
        <v>1</v>
      </c>
      <c r="T116" s="328">
        <f t="shared" si="149"/>
        <v>0</v>
      </c>
      <c r="V116" s="328">
        <f t="shared" si="150"/>
        <v>432</v>
      </c>
      <c r="W116" s="328">
        <f t="shared" si="151"/>
        <v>432</v>
      </c>
      <c r="X116" s="340">
        <v>1</v>
      </c>
      <c r="Y116" s="328">
        <f t="shared" si="152"/>
        <v>432</v>
      </c>
      <c r="Z116" s="328">
        <f t="shared" si="153"/>
        <v>432</v>
      </c>
      <c r="AA116" s="328">
        <f t="shared" si="154"/>
        <v>0</v>
      </c>
      <c r="AB116" s="328">
        <f t="shared" si="142"/>
        <v>0</v>
      </c>
      <c r="AC116" s="339">
        <f t="shared" si="155"/>
        <v>94.416666666666671</v>
      </c>
      <c r="AD116" s="325">
        <f t="shared" si="156"/>
        <v>122.75</v>
      </c>
      <c r="AE116" s="339">
        <f t="shared" si="157"/>
        <v>104.41666666666667</v>
      </c>
      <c r="AF116" s="325">
        <f t="shared" si="158"/>
        <v>121.75</v>
      </c>
      <c r="AG116" s="338">
        <f t="shared" si="159"/>
        <v>-8.3333333333333329E-2</v>
      </c>
    </row>
    <row r="117" spans="2:33">
      <c r="B117" s="333" t="s">
        <v>1017</v>
      </c>
      <c r="C117" s="333">
        <v>94</v>
      </c>
      <c r="D117" s="333">
        <v>6</v>
      </c>
      <c r="E117" s="342">
        <v>0</v>
      </c>
      <c r="G117" s="351" t="s">
        <v>888</v>
      </c>
      <c r="H117" s="333">
        <v>10</v>
      </c>
      <c r="I117" s="325">
        <f t="shared" si="143"/>
        <v>104</v>
      </c>
      <c r="L117" s="331">
        <v>756</v>
      </c>
      <c r="N117" s="328">
        <f t="shared" si="144"/>
        <v>756</v>
      </c>
      <c r="O117" s="328">
        <f t="shared" si="145"/>
        <v>6.3</v>
      </c>
      <c r="P117" s="328">
        <f t="shared" si="146"/>
        <v>0</v>
      </c>
      <c r="Q117" s="325">
        <f t="shared" si="147"/>
        <v>0</v>
      </c>
      <c r="R117" s="328">
        <f t="shared" si="148"/>
        <v>0</v>
      </c>
      <c r="S117" s="340">
        <v>1</v>
      </c>
      <c r="T117" s="328">
        <f t="shared" si="149"/>
        <v>0</v>
      </c>
      <c r="V117" s="328">
        <f t="shared" si="150"/>
        <v>756</v>
      </c>
      <c r="W117" s="328">
        <f t="shared" si="151"/>
        <v>756</v>
      </c>
      <c r="X117" s="340">
        <v>1</v>
      </c>
      <c r="Y117" s="328">
        <f t="shared" si="152"/>
        <v>756</v>
      </c>
      <c r="Z117" s="328">
        <f t="shared" si="153"/>
        <v>756</v>
      </c>
      <c r="AA117" s="328">
        <f t="shared" si="154"/>
        <v>0</v>
      </c>
      <c r="AB117" s="328">
        <f t="shared" si="142"/>
        <v>0</v>
      </c>
      <c r="AC117" s="339">
        <f t="shared" si="155"/>
        <v>94.416666666666671</v>
      </c>
      <c r="AD117" s="325">
        <f t="shared" si="156"/>
        <v>122.75</v>
      </c>
      <c r="AE117" s="339">
        <f t="shared" si="157"/>
        <v>104.41666666666667</v>
      </c>
      <c r="AF117" s="325">
        <f t="shared" si="158"/>
        <v>121.75</v>
      </c>
      <c r="AG117" s="338">
        <f t="shared" si="159"/>
        <v>-8.3333333333333329E-2</v>
      </c>
    </row>
    <row r="118" spans="2:33">
      <c r="B118" s="333" t="s">
        <v>1016</v>
      </c>
      <c r="C118" s="333">
        <v>94</v>
      </c>
      <c r="D118" s="333">
        <v>6</v>
      </c>
      <c r="E118" s="342">
        <v>0</v>
      </c>
      <c r="G118" s="351" t="s">
        <v>888</v>
      </c>
      <c r="H118" s="333">
        <v>10</v>
      </c>
      <c r="I118" s="325">
        <f t="shared" si="143"/>
        <v>104</v>
      </c>
      <c r="L118" s="331">
        <v>367</v>
      </c>
      <c r="N118" s="328">
        <f t="shared" si="144"/>
        <v>367</v>
      </c>
      <c r="O118" s="328">
        <f t="shared" si="145"/>
        <v>3.0583333333333336</v>
      </c>
      <c r="P118" s="328">
        <f t="shared" si="146"/>
        <v>0</v>
      </c>
      <c r="Q118" s="325">
        <f t="shared" si="147"/>
        <v>0</v>
      </c>
      <c r="R118" s="328">
        <f t="shared" si="148"/>
        <v>0</v>
      </c>
      <c r="S118" s="340">
        <v>1</v>
      </c>
      <c r="T118" s="328">
        <f t="shared" si="149"/>
        <v>0</v>
      </c>
      <c r="V118" s="328">
        <f t="shared" si="150"/>
        <v>367</v>
      </c>
      <c r="W118" s="328">
        <f t="shared" si="151"/>
        <v>367</v>
      </c>
      <c r="X118" s="340">
        <v>1</v>
      </c>
      <c r="Y118" s="328">
        <f t="shared" si="152"/>
        <v>367</v>
      </c>
      <c r="Z118" s="328">
        <f t="shared" si="153"/>
        <v>367</v>
      </c>
      <c r="AA118" s="328">
        <f t="shared" si="154"/>
        <v>0</v>
      </c>
      <c r="AB118" s="328">
        <f t="shared" si="142"/>
        <v>0</v>
      </c>
      <c r="AC118" s="339">
        <f t="shared" si="155"/>
        <v>94.416666666666671</v>
      </c>
      <c r="AD118" s="325">
        <f t="shared" si="156"/>
        <v>122.75</v>
      </c>
      <c r="AE118" s="339">
        <f t="shared" si="157"/>
        <v>104.41666666666667</v>
      </c>
      <c r="AF118" s="325">
        <f t="shared" si="158"/>
        <v>121.75</v>
      </c>
      <c r="AG118" s="338">
        <f t="shared" si="159"/>
        <v>-8.3333333333333329E-2</v>
      </c>
    </row>
    <row r="119" spans="2:33">
      <c r="B119" s="333" t="s">
        <v>1015</v>
      </c>
      <c r="C119" s="333">
        <v>94</v>
      </c>
      <c r="D119" s="333">
        <v>6</v>
      </c>
      <c r="E119" s="342">
        <v>0</v>
      </c>
      <c r="G119" s="351" t="s">
        <v>888</v>
      </c>
      <c r="H119" s="333">
        <v>10</v>
      </c>
      <c r="I119" s="325">
        <f t="shared" si="143"/>
        <v>104</v>
      </c>
      <c r="L119" s="331">
        <v>1890</v>
      </c>
      <c r="N119" s="328">
        <f t="shared" si="144"/>
        <v>1890</v>
      </c>
      <c r="O119" s="328">
        <f t="shared" si="145"/>
        <v>15.75</v>
      </c>
      <c r="P119" s="328">
        <f t="shared" si="146"/>
        <v>0</v>
      </c>
      <c r="Q119" s="325">
        <f t="shared" si="147"/>
        <v>0</v>
      </c>
      <c r="R119" s="328">
        <f t="shared" si="148"/>
        <v>0</v>
      </c>
      <c r="S119" s="340">
        <v>1</v>
      </c>
      <c r="T119" s="328">
        <f t="shared" si="149"/>
        <v>0</v>
      </c>
      <c r="V119" s="328">
        <f t="shared" si="150"/>
        <v>1890</v>
      </c>
      <c r="W119" s="328">
        <f t="shared" si="151"/>
        <v>1890</v>
      </c>
      <c r="X119" s="340">
        <v>1</v>
      </c>
      <c r="Y119" s="328">
        <f t="shared" si="152"/>
        <v>1890</v>
      </c>
      <c r="Z119" s="328">
        <f t="shared" si="153"/>
        <v>1890</v>
      </c>
      <c r="AA119" s="328">
        <f t="shared" si="154"/>
        <v>0</v>
      </c>
      <c r="AB119" s="328">
        <f t="shared" si="142"/>
        <v>0</v>
      </c>
      <c r="AC119" s="339">
        <f t="shared" si="155"/>
        <v>94.416666666666671</v>
      </c>
      <c r="AD119" s="325">
        <f t="shared" si="156"/>
        <v>122.75</v>
      </c>
      <c r="AE119" s="339">
        <f t="shared" si="157"/>
        <v>104.41666666666667</v>
      </c>
      <c r="AF119" s="325">
        <f t="shared" si="158"/>
        <v>121.75</v>
      </c>
      <c r="AG119" s="338">
        <f t="shared" si="159"/>
        <v>-8.3333333333333329E-2</v>
      </c>
    </row>
    <row r="120" spans="2:33">
      <c r="B120" s="333" t="s">
        <v>1008</v>
      </c>
      <c r="C120" s="333">
        <v>94</v>
      </c>
      <c r="D120" s="333">
        <v>7</v>
      </c>
      <c r="E120" s="342">
        <v>0</v>
      </c>
      <c r="G120" s="351" t="s">
        <v>888</v>
      </c>
      <c r="H120" s="333">
        <v>10</v>
      </c>
      <c r="I120" s="325">
        <f t="shared" si="143"/>
        <v>104</v>
      </c>
      <c r="L120" s="331">
        <v>665</v>
      </c>
      <c r="N120" s="328">
        <f t="shared" si="144"/>
        <v>665</v>
      </c>
      <c r="O120" s="328">
        <f t="shared" si="145"/>
        <v>5.541666666666667</v>
      </c>
      <c r="P120" s="328">
        <f t="shared" si="146"/>
        <v>0</v>
      </c>
      <c r="Q120" s="325">
        <f t="shared" si="147"/>
        <v>0</v>
      </c>
      <c r="R120" s="328">
        <f t="shared" si="148"/>
        <v>0</v>
      </c>
      <c r="S120" s="340">
        <v>1</v>
      </c>
      <c r="T120" s="328">
        <f t="shared" si="149"/>
        <v>0</v>
      </c>
      <c r="V120" s="328">
        <f t="shared" si="150"/>
        <v>665</v>
      </c>
      <c r="W120" s="328">
        <f t="shared" si="151"/>
        <v>665</v>
      </c>
      <c r="X120" s="340">
        <v>1</v>
      </c>
      <c r="Y120" s="328">
        <f t="shared" si="152"/>
        <v>665</v>
      </c>
      <c r="Z120" s="328">
        <f t="shared" si="153"/>
        <v>665</v>
      </c>
      <c r="AA120" s="328">
        <f t="shared" si="154"/>
        <v>0</v>
      </c>
      <c r="AB120" s="328">
        <f t="shared" si="142"/>
        <v>0</v>
      </c>
      <c r="AC120" s="339">
        <f t="shared" si="155"/>
        <v>94.5</v>
      </c>
      <c r="AD120" s="325">
        <f t="shared" si="156"/>
        <v>122.75</v>
      </c>
      <c r="AE120" s="339">
        <f t="shared" si="157"/>
        <v>104.5</v>
      </c>
      <c r="AF120" s="325">
        <f t="shared" si="158"/>
        <v>121.75</v>
      </c>
      <c r="AG120" s="338">
        <f t="shared" si="159"/>
        <v>-8.3333333333333329E-2</v>
      </c>
    </row>
    <row r="121" spans="2:33">
      <c r="B121" s="333" t="s">
        <v>1014</v>
      </c>
      <c r="C121" s="333">
        <v>94</v>
      </c>
      <c r="D121" s="333">
        <v>7</v>
      </c>
      <c r="E121" s="342">
        <v>0</v>
      </c>
      <c r="G121" s="351" t="s">
        <v>888</v>
      </c>
      <c r="H121" s="333">
        <v>10</v>
      </c>
      <c r="I121" s="325">
        <f t="shared" si="143"/>
        <v>104</v>
      </c>
      <c r="L121" s="331">
        <v>1642</v>
      </c>
      <c r="N121" s="328">
        <f t="shared" si="144"/>
        <v>1642</v>
      </c>
      <c r="O121" s="328">
        <f t="shared" si="145"/>
        <v>13.683333333333332</v>
      </c>
      <c r="P121" s="328">
        <f t="shared" si="146"/>
        <v>0</v>
      </c>
      <c r="Q121" s="325">
        <f t="shared" si="147"/>
        <v>0</v>
      </c>
      <c r="R121" s="328">
        <f t="shared" si="148"/>
        <v>0</v>
      </c>
      <c r="S121" s="340">
        <v>1</v>
      </c>
      <c r="T121" s="328">
        <f t="shared" si="149"/>
        <v>0</v>
      </c>
      <c r="V121" s="328">
        <f t="shared" si="150"/>
        <v>1642</v>
      </c>
      <c r="W121" s="328">
        <f t="shared" si="151"/>
        <v>1642</v>
      </c>
      <c r="X121" s="340">
        <v>1</v>
      </c>
      <c r="Y121" s="328">
        <f t="shared" si="152"/>
        <v>1642</v>
      </c>
      <c r="Z121" s="328">
        <f t="shared" si="153"/>
        <v>1642</v>
      </c>
      <c r="AA121" s="328">
        <f t="shared" si="154"/>
        <v>0</v>
      </c>
      <c r="AB121" s="328">
        <f t="shared" si="142"/>
        <v>0</v>
      </c>
      <c r="AC121" s="339">
        <f t="shared" si="155"/>
        <v>94.5</v>
      </c>
      <c r="AD121" s="325">
        <f t="shared" si="156"/>
        <v>122.75</v>
      </c>
      <c r="AE121" s="339">
        <f t="shared" si="157"/>
        <v>104.5</v>
      </c>
      <c r="AF121" s="325">
        <f t="shared" si="158"/>
        <v>121.75</v>
      </c>
      <c r="AG121" s="338">
        <f t="shared" si="159"/>
        <v>-8.3333333333333329E-2</v>
      </c>
    </row>
    <row r="122" spans="2:33">
      <c r="B122" s="333" t="s">
        <v>1013</v>
      </c>
      <c r="C122" s="333">
        <v>94</v>
      </c>
      <c r="D122" s="333">
        <v>7</v>
      </c>
      <c r="E122" s="342">
        <v>0</v>
      </c>
      <c r="G122" s="351" t="s">
        <v>888</v>
      </c>
      <c r="H122" s="333">
        <v>10</v>
      </c>
      <c r="I122" s="325">
        <f t="shared" si="143"/>
        <v>104</v>
      </c>
      <c r="L122" s="331">
        <v>1377</v>
      </c>
      <c r="N122" s="328">
        <f t="shared" si="144"/>
        <v>1377</v>
      </c>
      <c r="O122" s="328">
        <f t="shared" si="145"/>
        <v>11.475</v>
      </c>
      <c r="P122" s="328">
        <f t="shared" si="146"/>
        <v>0</v>
      </c>
      <c r="Q122" s="325">
        <f t="shared" si="147"/>
        <v>0</v>
      </c>
      <c r="R122" s="328">
        <f t="shared" si="148"/>
        <v>0</v>
      </c>
      <c r="S122" s="340">
        <v>1</v>
      </c>
      <c r="T122" s="328">
        <f t="shared" si="149"/>
        <v>0</v>
      </c>
      <c r="V122" s="328">
        <f t="shared" si="150"/>
        <v>1377</v>
      </c>
      <c r="W122" s="328">
        <f t="shared" si="151"/>
        <v>1377</v>
      </c>
      <c r="X122" s="340">
        <v>1</v>
      </c>
      <c r="Y122" s="328">
        <f t="shared" si="152"/>
        <v>1377</v>
      </c>
      <c r="Z122" s="328">
        <f t="shared" si="153"/>
        <v>1377</v>
      </c>
      <c r="AA122" s="328">
        <f t="shared" si="154"/>
        <v>0</v>
      </c>
      <c r="AB122" s="328">
        <f t="shared" si="142"/>
        <v>0</v>
      </c>
      <c r="AC122" s="339">
        <f t="shared" si="155"/>
        <v>94.5</v>
      </c>
      <c r="AD122" s="325">
        <f t="shared" si="156"/>
        <v>122.75</v>
      </c>
      <c r="AE122" s="339">
        <f t="shared" si="157"/>
        <v>104.5</v>
      </c>
      <c r="AF122" s="325">
        <f t="shared" si="158"/>
        <v>121.75</v>
      </c>
      <c r="AG122" s="338">
        <f t="shared" si="159"/>
        <v>-8.3333333333333329E-2</v>
      </c>
    </row>
    <row r="123" spans="2:33">
      <c r="B123" s="333" t="s">
        <v>1012</v>
      </c>
      <c r="C123" s="333">
        <v>95</v>
      </c>
      <c r="D123" s="333">
        <v>4</v>
      </c>
      <c r="E123" s="342">
        <v>0</v>
      </c>
      <c r="G123" s="351" t="s">
        <v>888</v>
      </c>
      <c r="H123" s="333">
        <v>10</v>
      </c>
      <c r="I123" s="325">
        <f t="shared" si="143"/>
        <v>105</v>
      </c>
      <c r="L123" s="331">
        <v>2554</v>
      </c>
      <c r="N123" s="328">
        <f t="shared" si="144"/>
        <v>2554</v>
      </c>
      <c r="O123" s="328">
        <f t="shared" si="145"/>
        <v>21.283333333333335</v>
      </c>
      <c r="P123" s="328">
        <f t="shared" si="146"/>
        <v>0</v>
      </c>
      <c r="Q123" s="325">
        <f t="shared" si="147"/>
        <v>0</v>
      </c>
      <c r="R123" s="328">
        <f t="shared" si="148"/>
        <v>0</v>
      </c>
      <c r="S123" s="340">
        <v>1</v>
      </c>
      <c r="T123" s="328">
        <f t="shared" si="149"/>
        <v>0</v>
      </c>
      <c r="V123" s="328">
        <f t="shared" si="150"/>
        <v>2554</v>
      </c>
      <c r="W123" s="328">
        <f t="shared" si="151"/>
        <v>2554</v>
      </c>
      <c r="X123" s="340">
        <v>1</v>
      </c>
      <c r="Y123" s="328">
        <f t="shared" si="152"/>
        <v>2554</v>
      </c>
      <c r="Z123" s="328">
        <f t="shared" si="153"/>
        <v>2554</v>
      </c>
      <c r="AA123" s="328">
        <f t="shared" si="154"/>
        <v>0</v>
      </c>
      <c r="AB123" s="328">
        <f t="shared" si="142"/>
        <v>0</v>
      </c>
      <c r="AC123" s="339">
        <f t="shared" si="155"/>
        <v>95.25</v>
      </c>
      <c r="AD123" s="325">
        <f t="shared" si="156"/>
        <v>122.75</v>
      </c>
      <c r="AE123" s="339">
        <f t="shared" si="157"/>
        <v>105.25</v>
      </c>
      <c r="AF123" s="325">
        <f t="shared" si="158"/>
        <v>121.75</v>
      </c>
      <c r="AG123" s="338">
        <f t="shared" si="159"/>
        <v>-8.3333333333333329E-2</v>
      </c>
    </row>
    <row r="124" spans="2:33">
      <c r="B124" s="333" t="s">
        <v>1011</v>
      </c>
      <c r="C124" s="333">
        <v>95</v>
      </c>
      <c r="D124" s="333">
        <v>6</v>
      </c>
      <c r="E124" s="342">
        <v>0</v>
      </c>
      <c r="G124" s="351" t="s">
        <v>888</v>
      </c>
      <c r="H124" s="333">
        <v>10</v>
      </c>
      <c r="I124" s="325">
        <f t="shared" si="143"/>
        <v>105</v>
      </c>
      <c r="L124" s="331">
        <v>3376</v>
      </c>
      <c r="N124" s="328">
        <f t="shared" si="144"/>
        <v>3376</v>
      </c>
      <c r="O124" s="328">
        <f t="shared" si="145"/>
        <v>28.133333333333336</v>
      </c>
      <c r="P124" s="328">
        <f t="shared" si="146"/>
        <v>0</v>
      </c>
      <c r="Q124" s="325">
        <f t="shared" si="147"/>
        <v>0</v>
      </c>
      <c r="R124" s="328">
        <f t="shared" si="148"/>
        <v>0</v>
      </c>
      <c r="S124" s="340">
        <v>1</v>
      </c>
      <c r="T124" s="328">
        <f t="shared" si="149"/>
        <v>0</v>
      </c>
      <c r="V124" s="328">
        <f t="shared" si="150"/>
        <v>3376</v>
      </c>
      <c r="W124" s="328">
        <f t="shared" si="151"/>
        <v>3376</v>
      </c>
      <c r="X124" s="340">
        <v>1</v>
      </c>
      <c r="Y124" s="328">
        <f t="shared" si="152"/>
        <v>3376</v>
      </c>
      <c r="Z124" s="328">
        <f t="shared" si="153"/>
        <v>3376</v>
      </c>
      <c r="AA124" s="328">
        <f t="shared" si="154"/>
        <v>0</v>
      </c>
      <c r="AB124" s="328">
        <f t="shared" si="142"/>
        <v>0</v>
      </c>
      <c r="AC124" s="339">
        <f t="shared" si="155"/>
        <v>95.416666666666671</v>
      </c>
      <c r="AD124" s="325">
        <f t="shared" si="156"/>
        <v>122.75</v>
      </c>
      <c r="AE124" s="339">
        <f t="shared" si="157"/>
        <v>105.41666666666667</v>
      </c>
      <c r="AF124" s="325">
        <f t="shared" si="158"/>
        <v>121.75</v>
      </c>
      <c r="AG124" s="338">
        <f t="shared" si="159"/>
        <v>-8.3333333333333329E-2</v>
      </c>
    </row>
    <row r="125" spans="2:33">
      <c r="B125" s="333" t="s">
        <v>999</v>
      </c>
      <c r="C125" s="333">
        <v>95</v>
      </c>
      <c r="D125" s="333">
        <v>6</v>
      </c>
      <c r="E125" s="342">
        <v>0</v>
      </c>
      <c r="G125" s="351" t="s">
        <v>888</v>
      </c>
      <c r="H125" s="333">
        <v>10</v>
      </c>
      <c r="I125" s="325">
        <f t="shared" si="143"/>
        <v>105</v>
      </c>
      <c r="L125" s="331">
        <v>1623</v>
      </c>
      <c r="N125" s="328">
        <f t="shared" si="144"/>
        <v>1623</v>
      </c>
      <c r="O125" s="328">
        <f t="shared" si="145"/>
        <v>13.525</v>
      </c>
      <c r="P125" s="328">
        <f t="shared" si="146"/>
        <v>0</v>
      </c>
      <c r="Q125" s="325">
        <f t="shared" si="147"/>
        <v>0</v>
      </c>
      <c r="R125" s="328">
        <f t="shared" si="148"/>
        <v>0</v>
      </c>
      <c r="S125" s="340">
        <v>1</v>
      </c>
      <c r="T125" s="328">
        <f t="shared" si="149"/>
        <v>0</v>
      </c>
      <c r="V125" s="328">
        <f t="shared" si="150"/>
        <v>1623</v>
      </c>
      <c r="W125" s="328">
        <f t="shared" si="151"/>
        <v>1623</v>
      </c>
      <c r="X125" s="340">
        <v>1</v>
      </c>
      <c r="Y125" s="328">
        <f t="shared" si="152"/>
        <v>1623</v>
      </c>
      <c r="Z125" s="328">
        <f t="shared" si="153"/>
        <v>1623</v>
      </c>
      <c r="AA125" s="328">
        <f t="shared" si="154"/>
        <v>0</v>
      </c>
      <c r="AB125" s="328">
        <f t="shared" si="142"/>
        <v>0</v>
      </c>
      <c r="AC125" s="339">
        <f t="shared" si="155"/>
        <v>95.416666666666671</v>
      </c>
      <c r="AD125" s="325">
        <f t="shared" si="156"/>
        <v>122.75</v>
      </c>
      <c r="AE125" s="339">
        <f t="shared" si="157"/>
        <v>105.41666666666667</v>
      </c>
      <c r="AF125" s="325">
        <f t="shared" si="158"/>
        <v>121.75</v>
      </c>
      <c r="AG125" s="338">
        <f t="shared" si="159"/>
        <v>-8.3333333333333329E-2</v>
      </c>
    </row>
    <row r="126" spans="2:33">
      <c r="B126" s="333" t="s">
        <v>1005</v>
      </c>
      <c r="C126" s="333">
        <v>96</v>
      </c>
      <c r="D126" s="333">
        <v>4</v>
      </c>
      <c r="E126" s="342">
        <v>0</v>
      </c>
      <c r="G126" s="351" t="s">
        <v>888</v>
      </c>
      <c r="H126" s="333">
        <v>10</v>
      </c>
      <c r="I126" s="325">
        <f t="shared" si="143"/>
        <v>106</v>
      </c>
      <c r="L126" s="331">
        <v>3246</v>
      </c>
      <c r="N126" s="328">
        <f t="shared" si="144"/>
        <v>3246</v>
      </c>
      <c r="O126" s="328">
        <f t="shared" si="145"/>
        <v>27.05</v>
      </c>
      <c r="P126" s="328">
        <f t="shared" si="146"/>
        <v>0</v>
      </c>
      <c r="Q126" s="325">
        <f t="shared" si="147"/>
        <v>0</v>
      </c>
      <c r="R126" s="328">
        <f t="shared" si="148"/>
        <v>0</v>
      </c>
      <c r="S126" s="340">
        <v>1</v>
      </c>
      <c r="T126" s="328">
        <f t="shared" si="149"/>
        <v>0</v>
      </c>
      <c r="V126" s="328">
        <f t="shared" si="150"/>
        <v>3246</v>
      </c>
      <c r="W126" s="328">
        <f t="shared" si="151"/>
        <v>3246</v>
      </c>
      <c r="X126" s="340">
        <v>1</v>
      </c>
      <c r="Y126" s="328">
        <f t="shared" si="152"/>
        <v>3246</v>
      </c>
      <c r="Z126" s="328">
        <f t="shared" si="153"/>
        <v>3246</v>
      </c>
      <c r="AA126" s="328">
        <f t="shared" si="154"/>
        <v>0</v>
      </c>
      <c r="AB126" s="328">
        <f t="shared" si="142"/>
        <v>0</v>
      </c>
      <c r="AC126" s="339">
        <f t="shared" si="155"/>
        <v>96.25</v>
      </c>
      <c r="AD126" s="325">
        <f t="shared" si="156"/>
        <v>122.75</v>
      </c>
      <c r="AE126" s="339">
        <f t="shared" si="157"/>
        <v>106.25</v>
      </c>
      <c r="AF126" s="325">
        <f t="shared" si="158"/>
        <v>121.75</v>
      </c>
      <c r="AG126" s="338">
        <f t="shared" si="159"/>
        <v>-8.3333333333333329E-2</v>
      </c>
    </row>
    <row r="127" spans="2:33">
      <c r="B127" s="333" t="s">
        <v>1010</v>
      </c>
      <c r="C127" s="333">
        <v>96</v>
      </c>
      <c r="D127" s="333">
        <v>4</v>
      </c>
      <c r="E127" s="342">
        <v>0</v>
      </c>
      <c r="G127" s="351" t="s">
        <v>888</v>
      </c>
      <c r="H127" s="333">
        <v>10</v>
      </c>
      <c r="I127" s="325">
        <f t="shared" si="143"/>
        <v>106</v>
      </c>
      <c r="L127" s="331">
        <v>2813</v>
      </c>
      <c r="N127" s="328">
        <f t="shared" si="144"/>
        <v>2813</v>
      </c>
      <c r="O127" s="328">
        <f t="shared" si="145"/>
        <v>23.441666666666666</v>
      </c>
      <c r="P127" s="328">
        <f t="shared" si="146"/>
        <v>0</v>
      </c>
      <c r="Q127" s="325">
        <f t="shared" si="147"/>
        <v>0</v>
      </c>
      <c r="R127" s="328">
        <f t="shared" si="148"/>
        <v>0</v>
      </c>
      <c r="S127" s="340">
        <v>1</v>
      </c>
      <c r="T127" s="328">
        <f t="shared" si="149"/>
        <v>0</v>
      </c>
      <c r="V127" s="328">
        <f t="shared" si="150"/>
        <v>2813</v>
      </c>
      <c r="W127" s="328">
        <f t="shared" si="151"/>
        <v>2813</v>
      </c>
      <c r="X127" s="340">
        <v>1</v>
      </c>
      <c r="Y127" s="328">
        <f t="shared" si="152"/>
        <v>2813</v>
      </c>
      <c r="Z127" s="328">
        <f t="shared" si="153"/>
        <v>2813</v>
      </c>
      <c r="AA127" s="328">
        <f t="shared" si="154"/>
        <v>0</v>
      </c>
      <c r="AB127" s="328">
        <f t="shared" si="142"/>
        <v>0</v>
      </c>
      <c r="AC127" s="339">
        <f t="shared" si="155"/>
        <v>96.25</v>
      </c>
      <c r="AD127" s="325">
        <f t="shared" si="156"/>
        <v>122.75</v>
      </c>
      <c r="AE127" s="339">
        <f t="shared" si="157"/>
        <v>106.25</v>
      </c>
      <c r="AF127" s="325">
        <f t="shared" si="158"/>
        <v>121.75</v>
      </c>
      <c r="AG127" s="338">
        <f t="shared" si="159"/>
        <v>-8.3333333333333329E-2</v>
      </c>
    </row>
    <row r="128" spans="2:33">
      <c r="B128" s="333" t="s">
        <v>999</v>
      </c>
      <c r="C128" s="333">
        <v>96</v>
      </c>
      <c r="D128" s="333">
        <v>9</v>
      </c>
      <c r="E128" s="342">
        <v>0</v>
      </c>
      <c r="G128" s="351" t="s">
        <v>888</v>
      </c>
      <c r="H128" s="333">
        <v>10</v>
      </c>
      <c r="I128" s="325">
        <f t="shared" si="143"/>
        <v>106</v>
      </c>
      <c r="L128" s="331">
        <v>1720</v>
      </c>
      <c r="N128" s="328">
        <f t="shared" si="144"/>
        <v>1720</v>
      </c>
      <c r="O128" s="328">
        <f t="shared" si="145"/>
        <v>14.333333333333334</v>
      </c>
      <c r="P128" s="328">
        <f t="shared" si="146"/>
        <v>0</v>
      </c>
      <c r="Q128" s="325">
        <f t="shared" si="147"/>
        <v>0</v>
      </c>
      <c r="R128" s="328">
        <f t="shared" si="148"/>
        <v>0</v>
      </c>
      <c r="S128" s="340">
        <v>1</v>
      </c>
      <c r="T128" s="328">
        <f t="shared" si="149"/>
        <v>0</v>
      </c>
      <c r="V128" s="328">
        <f t="shared" si="150"/>
        <v>1720</v>
      </c>
      <c r="W128" s="328">
        <f t="shared" si="151"/>
        <v>1720</v>
      </c>
      <c r="X128" s="340">
        <v>1</v>
      </c>
      <c r="Y128" s="328">
        <f t="shared" si="152"/>
        <v>1720</v>
      </c>
      <c r="Z128" s="328">
        <f t="shared" si="153"/>
        <v>1720</v>
      </c>
      <c r="AA128" s="328">
        <f t="shared" si="154"/>
        <v>0</v>
      </c>
      <c r="AB128" s="328">
        <f t="shared" si="142"/>
        <v>0</v>
      </c>
      <c r="AC128" s="339">
        <f t="shared" si="155"/>
        <v>96.666666666666671</v>
      </c>
      <c r="AD128" s="325">
        <f t="shared" si="156"/>
        <v>122.75</v>
      </c>
      <c r="AE128" s="339">
        <f t="shared" si="157"/>
        <v>106.66666666666667</v>
      </c>
      <c r="AF128" s="325">
        <f t="shared" si="158"/>
        <v>121.75</v>
      </c>
      <c r="AG128" s="338">
        <f t="shared" si="159"/>
        <v>-8.3333333333333329E-2</v>
      </c>
    </row>
    <row r="129" spans="2:33">
      <c r="B129" s="333" t="s">
        <v>1010</v>
      </c>
      <c r="C129" s="333">
        <v>97</v>
      </c>
      <c r="D129" s="333">
        <v>4</v>
      </c>
      <c r="E129" s="342">
        <v>0</v>
      </c>
      <c r="G129" s="351" t="s">
        <v>888</v>
      </c>
      <c r="H129" s="333">
        <v>10</v>
      </c>
      <c r="I129" s="325">
        <f t="shared" si="143"/>
        <v>107</v>
      </c>
      <c r="L129" s="331">
        <v>2911</v>
      </c>
      <c r="N129" s="328">
        <f t="shared" si="144"/>
        <v>2911</v>
      </c>
      <c r="O129" s="328">
        <f t="shared" si="145"/>
        <v>24.258333333333336</v>
      </c>
      <c r="P129" s="328">
        <f t="shared" si="146"/>
        <v>0</v>
      </c>
      <c r="Q129" s="325">
        <f t="shared" si="147"/>
        <v>0</v>
      </c>
      <c r="R129" s="328">
        <f t="shared" si="148"/>
        <v>0</v>
      </c>
      <c r="S129" s="340">
        <v>1</v>
      </c>
      <c r="T129" s="328">
        <f t="shared" si="149"/>
        <v>0</v>
      </c>
      <c r="V129" s="328">
        <f t="shared" si="150"/>
        <v>2911</v>
      </c>
      <c r="W129" s="328">
        <f t="shared" si="151"/>
        <v>2911</v>
      </c>
      <c r="X129" s="340">
        <v>1</v>
      </c>
      <c r="Y129" s="328">
        <f t="shared" si="152"/>
        <v>2911</v>
      </c>
      <c r="Z129" s="328">
        <f t="shared" si="153"/>
        <v>2911</v>
      </c>
      <c r="AA129" s="328">
        <f t="shared" si="154"/>
        <v>0</v>
      </c>
      <c r="AB129" s="328">
        <f t="shared" si="142"/>
        <v>0</v>
      </c>
      <c r="AC129" s="339">
        <f t="shared" si="155"/>
        <v>97.25</v>
      </c>
      <c r="AD129" s="325">
        <f t="shared" si="156"/>
        <v>122.75</v>
      </c>
      <c r="AE129" s="339">
        <f t="shared" si="157"/>
        <v>107.25</v>
      </c>
      <c r="AF129" s="325">
        <f t="shared" si="158"/>
        <v>121.75</v>
      </c>
      <c r="AG129" s="338">
        <f t="shared" si="159"/>
        <v>-8.3333333333333329E-2</v>
      </c>
    </row>
    <row r="130" spans="2:33">
      <c r="B130" s="333" t="s">
        <v>1005</v>
      </c>
      <c r="C130" s="333">
        <v>97</v>
      </c>
      <c r="D130" s="333">
        <v>4</v>
      </c>
      <c r="E130" s="342">
        <v>0</v>
      </c>
      <c r="G130" s="351" t="s">
        <v>888</v>
      </c>
      <c r="H130" s="333">
        <v>10</v>
      </c>
      <c r="I130" s="325">
        <f t="shared" si="143"/>
        <v>107</v>
      </c>
      <c r="L130" s="331">
        <v>3364</v>
      </c>
      <c r="N130" s="328">
        <f t="shared" si="144"/>
        <v>3364</v>
      </c>
      <c r="O130" s="328">
        <f t="shared" si="145"/>
        <v>28.033333333333331</v>
      </c>
      <c r="P130" s="328">
        <f t="shared" si="146"/>
        <v>0</v>
      </c>
      <c r="Q130" s="325">
        <f t="shared" si="147"/>
        <v>0</v>
      </c>
      <c r="R130" s="328">
        <f t="shared" si="148"/>
        <v>0</v>
      </c>
      <c r="S130" s="340">
        <v>1</v>
      </c>
      <c r="T130" s="328">
        <f t="shared" si="149"/>
        <v>0</v>
      </c>
      <c r="V130" s="328">
        <f t="shared" si="150"/>
        <v>3364</v>
      </c>
      <c r="W130" s="328">
        <f t="shared" si="151"/>
        <v>3364</v>
      </c>
      <c r="X130" s="340">
        <v>1</v>
      </c>
      <c r="Y130" s="328">
        <f t="shared" si="152"/>
        <v>3364</v>
      </c>
      <c r="Z130" s="328">
        <f t="shared" si="153"/>
        <v>3364</v>
      </c>
      <c r="AA130" s="328">
        <f t="shared" si="154"/>
        <v>0</v>
      </c>
      <c r="AB130" s="328">
        <f t="shared" si="142"/>
        <v>0</v>
      </c>
      <c r="AC130" s="339">
        <f t="shared" si="155"/>
        <v>97.25</v>
      </c>
      <c r="AD130" s="325">
        <f t="shared" si="156"/>
        <v>122.75</v>
      </c>
      <c r="AE130" s="339">
        <f t="shared" si="157"/>
        <v>107.25</v>
      </c>
      <c r="AF130" s="325">
        <f t="shared" si="158"/>
        <v>121.75</v>
      </c>
      <c r="AG130" s="338">
        <f t="shared" si="159"/>
        <v>-8.3333333333333329E-2</v>
      </c>
    </row>
    <row r="131" spans="2:33">
      <c r="B131" s="333" t="s">
        <v>999</v>
      </c>
      <c r="C131" s="333">
        <v>97</v>
      </c>
      <c r="D131" s="333">
        <v>4</v>
      </c>
      <c r="E131" s="342">
        <v>0</v>
      </c>
      <c r="G131" s="351" t="s">
        <v>888</v>
      </c>
      <c r="H131" s="333">
        <v>10</v>
      </c>
      <c r="I131" s="325">
        <f t="shared" si="143"/>
        <v>107</v>
      </c>
      <c r="L131" s="331">
        <v>1561</v>
      </c>
      <c r="N131" s="328">
        <f t="shared" si="144"/>
        <v>1561</v>
      </c>
      <c r="O131" s="328">
        <f t="shared" si="145"/>
        <v>13.008333333333333</v>
      </c>
      <c r="P131" s="328">
        <f t="shared" si="146"/>
        <v>0</v>
      </c>
      <c r="Q131" s="325">
        <f t="shared" si="147"/>
        <v>0</v>
      </c>
      <c r="R131" s="328">
        <f t="shared" si="148"/>
        <v>0</v>
      </c>
      <c r="S131" s="340">
        <v>1</v>
      </c>
      <c r="T131" s="328">
        <f t="shared" si="149"/>
        <v>0</v>
      </c>
      <c r="V131" s="328">
        <f t="shared" si="150"/>
        <v>1561</v>
      </c>
      <c r="W131" s="328">
        <f t="shared" si="151"/>
        <v>1561</v>
      </c>
      <c r="X131" s="340">
        <v>1</v>
      </c>
      <c r="Y131" s="328">
        <f t="shared" si="152"/>
        <v>1561</v>
      </c>
      <c r="Z131" s="328">
        <f t="shared" si="153"/>
        <v>1561</v>
      </c>
      <c r="AA131" s="328">
        <f t="shared" si="154"/>
        <v>0</v>
      </c>
      <c r="AB131" s="328">
        <f t="shared" si="142"/>
        <v>0</v>
      </c>
      <c r="AC131" s="339">
        <f t="shared" si="155"/>
        <v>97.25</v>
      </c>
      <c r="AD131" s="325">
        <f t="shared" si="156"/>
        <v>122.75</v>
      </c>
      <c r="AE131" s="339">
        <f t="shared" si="157"/>
        <v>107.25</v>
      </c>
      <c r="AF131" s="325">
        <f t="shared" si="158"/>
        <v>121.75</v>
      </c>
      <c r="AG131" s="338">
        <f t="shared" si="159"/>
        <v>-8.3333333333333329E-2</v>
      </c>
    </row>
    <row r="132" spans="2:33">
      <c r="B132" s="333" t="s">
        <v>1009</v>
      </c>
      <c r="C132" s="333">
        <v>97</v>
      </c>
      <c r="D132" s="333">
        <v>4</v>
      </c>
      <c r="E132" s="342">
        <v>0</v>
      </c>
      <c r="G132" s="351" t="s">
        <v>888</v>
      </c>
      <c r="H132" s="333">
        <v>10</v>
      </c>
      <c r="I132" s="325">
        <f t="shared" si="143"/>
        <v>107</v>
      </c>
      <c r="L132" s="331">
        <v>2055</v>
      </c>
      <c r="N132" s="328">
        <f t="shared" si="144"/>
        <v>2055</v>
      </c>
      <c r="O132" s="328">
        <f t="shared" si="145"/>
        <v>17.125</v>
      </c>
      <c r="P132" s="328">
        <f t="shared" si="146"/>
        <v>0</v>
      </c>
      <c r="Q132" s="325">
        <f t="shared" si="147"/>
        <v>0</v>
      </c>
      <c r="R132" s="328">
        <f t="shared" si="148"/>
        <v>0</v>
      </c>
      <c r="S132" s="340">
        <v>1</v>
      </c>
      <c r="T132" s="328">
        <f t="shared" si="149"/>
        <v>0</v>
      </c>
      <c r="V132" s="328">
        <f t="shared" si="150"/>
        <v>2055</v>
      </c>
      <c r="W132" s="328">
        <f t="shared" si="151"/>
        <v>2055</v>
      </c>
      <c r="X132" s="340">
        <v>1</v>
      </c>
      <c r="Y132" s="328">
        <f t="shared" si="152"/>
        <v>2055</v>
      </c>
      <c r="Z132" s="328">
        <f t="shared" si="153"/>
        <v>2055</v>
      </c>
      <c r="AA132" s="328">
        <f t="shared" si="154"/>
        <v>0</v>
      </c>
      <c r="AB132" s="328">
        <f t="shared" si="142"/>
        <v>0</v>
      </c>
      <c r="AC132" s="339">
        <f t="shared" si="155"/>
        <v>97.25</v>
      </c>
      <c r="AD132" s="325">
        <f t="shared" si="156"/>
        <v>122.75</v>
      </c>
      <c r="AE132" s="339">
        <f t="shared" si="157"/>
        <v>107.25</v>
      </c>
      <c r="AF132" s="325">
        <f t="shared" si="158"/>
        <v>121.75</v>
      </c>
      <c r="AG132" s="338">
        <f t="shared" si="159"/>
        <v>-8.3333333333333329E-2</v>
      </c>
    </row>
    <row r="133" spans="2:33">
      <c r="B133" s="333" t="s">
        <v>1008</v>
      </c>
      <c r="C133" s="333">
        <v>97</v>
      </c>
      <c r="D133" s="333">
        <v>4</v>
      </c>
      <c r="E133" s="342">
        <v>0</v>
      </c>
      <c r="G133" s="351" t="s">
        <v>888</v>
      </c>
      <c r="H133" s="333">
        <v>10</v>
      </c>
      <c r="I133" s="325">
        <f t="shared" si="143"/>
        <v>107</v>
      </c>
      <c r="L133" s="331">
        <v>751</v>
      </c>
      <c r="N133" s="328">
        <f t="shared" si="144"/>
        <v>751</v>
      </c>
      <c r="O133" s="328">
        <f t="shared" si="145"/>
        <v>6.2583333333333329</v>
      </c>
      <c r="P133" s="328">
        <f t="shared" si="146"/>
        <v>0</v>
      </c>
      <c r="Q133" s="325">
        <f t="shared" si="147"/>
        <v>0</v>
      </c>
      <c r="R133" s="328">
        <f t="shared" si="148"/>
        <v>0</v>
      </c>
      <c r="S133" s="340">
        <v>1</v>
      </c>
      <c r="T133" s="328">
        <f t="shared" si="149"/>
        <v>0</v>
      </c>
      <c r="V133" s="328">
        <f t="shared" si="150"/>
        <v>751</v>
      </c>
      <c r="W133" s="328">
        <f t="shared" si="151"/>
        <v>751</v>
      </c>
      <c r="X133" s="340">
        <v>1</v>
      </c>
      <c r="Y133" s="328">
        <f t="shared" si="152"/>
        <v>751</v>
      </c>
      <c r="Z133" s="328">
        <f t="shared" si="153"/>
        <v>751</v>
      </c>
      <c r="AA133" s="328">
        <f t="shared" si="154"/>
        <v>0</v>
      </c>
      <c r="AB133" s="328">
        <f t="shared" si="142"/>
        <v>0</v>
      </c>
      <c r="AC133" s="339">
        <f t="shared" si="155"/>
        <v>97.25</v>
      </c>
      <c r="AD133" s="325">
        <f t="shared" si="156"/>
        <v>122.75</v>
      </c>
      <c r="AE133" s="339">
        <f t="shared" si="157"/>
        <v>107.25</v>
      </c>
      <c r="AF133" s="325">
        <f t="shared" si="158"/>
        <v>121.75</v>
      </c>
      <c r="AG133" s="338">
        <f t="shared" si="159"/>
        <v>-8.3333333333333329E-2</v>
      </c>
    </row>
    <row r="134" spans="2:33">
      <c r="B134" s="333" t="s">
        <v>1007</v>
      </c>
      <c r="C134" s="333">
        <v>97</v>
      </c>
      <c r="D134" s="333">
        <v>5</v>
      </c>
      <c r="E134" s="342">
        <v>0</v>
      </c>
      <c r="G134" s="351" t="s">
        <v>888</v>
      </c>
      <c r="H134" s="333">
        <v>10</v>
      </c>
      <c r="I134" s="325">
        <f t="shared" si="143"/>
        <v>107</v>
      </c>
      <c r="L134" s="331">
        <v>7324</v>
      </c>
      <c r="N134" s="328">
        <f t="shared" si="144"/>
        <v>7324</v>
      </c>
      <c r="O134" s="328">
        <f t="shared" si="145"/>
        <v>61.033333333333331</v>
      </c>
      <c r="P134" s="328">
        <f t="shared" si="146"/>
        <v>0</v>
      </c>
      <c r="Q134" s="325">
        <f t="shared" si="147"/>
        <v>0</v>
      </c>
      <c r="R134" s="328">
        <f t="shared" si="148"/>
        <v>0</v>
      </c>
      <c r="S134" s="340">
        <v>1</v>
      </c>
      <c r="T134" s="328">
        <f t="shared" si="149"/>
        <v>0</v>
      </c>
      <c r="V134" s="328">
        <f t="shared" si="150"/>
        <v>7324</v>
      </c>
      <c r="W134" s="328">
        <f t="shared" si="151"/>
        <v>7324</v>
      </c>
      <c r="X134" s="340">
        <v>1</v>
      </c>
      <c r="Y134" s="328">
        <f t="shared" si="152"/>
        <v>7324</v>
      </c>
      <c r="Z134" s="328">
        <f t="shared" si="153"/>
        <v>7324</v>
      </c>
      <c r="AA134" s="328">
        <f t="shared" si="154"/>
        <v>0</v>
      </c>
      <c r="AB134" s="328">
        <f t="shared" si="142"/>
        <v>0</v>
      </c>
      <c r="AC134" s="339">
        <f t="shared" si="155"/>
        <v>97.333333333333329</v>
      </c>
      <c r="AD134" s="325">
        <f t="shared" si="156"/>
        <v>122.75</v>
      </c>
      <c r="AE134" s="339">
        <f t="shared" si="157"/>
        <v>107.33333333333333</v>
      </c>
      <c r="AF134" s="325">
        <f t="shared" si="158"/>
        <v>121.75</v>
      </c>
      <c r="AG134" s="338">
        <f t="shared" si="159"/>
        <v>-8.3333333333333329E-2</v>
      </c>
    </row>
    <row r="135" spans="2:33">
      <c r="B135" s="333" t="s">
        <v>1006</v>
      </c>
      <c r="C135" s="333">
        <v>98</v>
      </c>
      <c r="D135" s="333">
        <v>3</v>
      </c>
      <c r="E135" s="342">
        <v>0</v>
      </c>
      <c r="G135" s="351" t="s">
        <v>888</v>
      </c>
      <c r="H135" s="333">
        <v>10</v>
      </c>
      <c r="I135" s="325">
        <f t="shared" ref="I135:I166" si="160">C135+H135</f>
        <v>108</v>
      </c>
      <c r="L135" s="331">
        <v>3410</v>
      </c>
      <c r="N135" s="328">
        <f t="shared" ref="N135:N166" si="161">L135-L135*E135</f>
        <v>3410</v>
      </c>
      <c r="O135" s="328">
        <f t="shared" ref="O135:O166" si="162">N135/H135/12</f>
        <v>28.416666666666668</v>
      </c>
      <c r="P135" s="328">
        <f t="shared" ref="P135:P166" si="163">IF(M135&gt;0,0,IF(OR(AC135&gt;AD135,AE135&lt;AF135),0,IF(AND(AE135&gt;=AF135,AE135&lt;=AD135),O135*((AE135-AF135)*12),IF(AND(AF135&lt;=AC135,AD135&gt;=AC135),((AD135-AC135)*12)*O135,IF(AE135&gt;AD135,12*O135,0)))))</f>
        <v>0</v>
      </c>
      <c r="Q135" s="325">
        <f t="shared" ref="Q135:Q166" si="164">IF(M135=0,0,IF(AND(AG135&gt;=AF135,AG135&lt;=AE135),((AG135-AF135)*12)*O135,0))</f>
        <v>0</v>
      </c>
      <c r="R135" s="328">
        <f t="shared" ref="R135:R166" si="165">IF(Q135&gt;0,Q135,P135)</f>
        <v>0</v>
      </c>
      <c r="S135" s="340">
        <v>1</v>
      </c>
      <c r="T135" s="328">
        <f t="shared" ref="T135:T166" si="166">S135*SUM(P135:Q135)</f>
        <v>0</v>
      </c>
      <c r="V135" s="328">
        <f t="shared" ref="V135:V166" si="167">IF(AC135&gt;AD135,0,IF(AE135&lt;AF135,N135,IF(AND(AE135&gt;=AF135,AE135&lt;=AD135),(N135-R135),IF(AND(AF135&lt;=AC135,AD135&gt;=AC135),0,IF(AE135&gt;AD135,((AF135-AC135)*12)*O135,0)))))</f>
        <v>3410</v>
      </c>
      <c r="W135" s="328">
        <f t="shared" ref="W135:W166" si="168">V135*S135</f>
        <v>3410</v>
      </c>
      <c r="X135" s="340">
        <v>1</v>
      </c>
      <c r="Y135" s="328">
        <f t="shared" ref="Y135:Y166" si="169">W135*X135</f>
        <v>3410</v>
      </c>
      <c r="Z135" s="328">
        <f t="shared" ref="Z135:Z166" si="170">IF(M135&gt;0,0,Y135+T135*X135)*X135</f>
        <v>3410</v>
      </c>
      <c r="AA135" s="328">
        <f t="shared" ref="AA135:AA166" si="171">IF(M135&gt;0,(L135-Y135)/2,IF(AC135&gt;=AF135,(((L135*S135)*X135)-Z135)/2,((((L135*S135)*X135)-Y135)+(((L135*S135)*X135)-Z135))/2))</f>
        <v>0</v>
      </c>
      <c r="AB135" s="328">
        <f t="shared" si="142"/>
        <v>0</v>
      </c>
      <c r="AC135" s="339">
        <f t="shared" ref="AC135:AC166" si="172">$C135+(($D135-1)/12)</f>
        <v>98.166666666666671</v>
      </c>
      <c r="AD135" s="325">
        <f t="shared" ref="AD135:AD166" si="173">($N$5+1)-($N$2/12)</f>
        <v>122.75</v>
      </c>
      <c r="AE135" s="339">
        <f t="shared" ref="AE135:AE166" si="174">$I135+(($D135-1)/12)</f>
        <v>108.16666666666667</v>
      </c>
      <c r="AF135" s="325">
        <f t="shared" ref="AF135:AF166" si="175">$N$4+($N$3/12)</f>
        <v>121.75</v>
      </c>
      <c r="AG135" s="338">
        <f t="shared" ref="AG135:AG166" si="176">$J135+(($K135-1)/12)</f>
        <v>-8.3333333333333329E-2</v>
      </c>
    </row>
    <row r="136" spans="2:33">
      <c r="B136" s="333" t="s">
        <v>1005</v>
      </c>
      <c r="C136" s="333">
        <v>98</v>
      </c>
      <c r="D136" s="333">
        <v>3</v>
      </c>
      <c r="E136" s="342">
        <v>0</v>
      </c>
      <c r="G136" s="351" t="s">
        <v>888</v>
      </c>
      <c r="H136" s="333">
        <v>10</v>
      </c>
      <c r="I136" s="325">
        <f t="shared" si="160"/>
        <v>108</v>
      </c>
      <c r="L136" s="331">
        <v>3833</v>
      </c>
      <c r="N136" s="328">
        <f t="shared" si="161"/>
        <v>3833</v>
      </c>
      <c r="O136" s="328">
        <f t="shared" si="162"/>
        <v>31.941666666666666</v>
      </c>
      <c r="P136" s="328">
        <f t="shared" si="163"/>
        <v>0</v>
      </c>
      <c r="Q136" s="325">
        <f t="shared" si="164"/>
        <v>0</v>
      </c>
      <c r="R136" s="328">
        <f t="shared" si="165"/>
        <v>0</v>
      </c>
      <c r="S136" s="340">
        <v>1</v>
      </c>
      <c r="T136" s="328">
        <f t="shared" si="166"/>
        <v>0</v>
      </c>
      <c r="V136" s="328">
        <f t="shared" si="167"/>
        <v>3833</v>
      </c>
      <c r="W136" s="328">
        <f t="shared" si="168"/>
        <v>3833</v>
      </c>
      <c r="X136" s="340">
        <v>1</v>
      </c>
      <c r="Y136" s="328">
        <f t="shared" si="169"/>
        <v>3833</v>
      </c>
      <c r="Z136" s="328">
        <f t="shared" si="170"/>
        <v>3833</v>
      </c>
      <c r="AA136" s="328">
        <f t="shared" si="171"/>
        <v>0</v>
      </c>
      <c r="AB136" s="328">
        <f t="shared" ref="AB136:AB201" si="177">L136-Z136</f>
        <v>0</v>
      </c>
      <c r="AC136" s="339">
        <f t="shared" si="172"/>
        <v>98.166666666666671</v>
      </c>
      <c r="AD136" s="325">
        <f t="shared" si="173"/>
        <v>122.75</v>
      </c>
      <c r="AE136" s="339">
        <f t="shared" si="174"/>
        <v>108.16666666666667</v>
      </c>
      <c r="AF136" s="325">
        <f t="shared" si="175"/>
        <v>121.75</v>
      </c>
      <c r="AG136" s="338">
        <f t="shared" si="176"/>
        <v>-8.3333333333333329E-2</v>
      </c>
    </row>
    <row r="137" spans="2:33">
      <c r="B137" s="333" t="s">
        <v>1004</v>
      </c>
      <c r="C137" s="333">
        <v>98</v>
      </c>
      <c r="D137" s="333">
        <v>11</v>
      </c>
      <c r="E137" s="342">
        <v>0</v>
      </c>
      <c r="G137" s="351" t="s">
        <v>888</v>
      </c>
      <c r="H137" s="333">
        <v>10</v>
      </c>
      <c r="I137" s="325">
        <f t="shared" si="160"/>
        <v>108</v>
      </c>
      <c r="L137" s="331">
        <v>5946</v>
      </c>
      <c r="N137" s="328">
        <f t="shared" si="161"/>
        <v>5946</v>
      </c>
      <c r="O137" s="328">
        <f t="shared" si="162"/>
        <v>49.550000000000004</v>
      </c>
      <c r="P137" s="328">
        <f t="shared" si="163"/>
        <v>0</v>
      </c>
      <c r="Q137" s="325">
        <f t="shared" si="164"/>
        <v>0</v>
      </c>
      <c r="R137" s="328">
        <f t="shared" si="165"/>
        <v>0</v>
      </c>
      <c r="S137" s="340">
        <v>1</v>
      </c>
      <c r="T137" s="328">
        <f t="shared" si="166"/>
        <v>0</v>
      </c>
      <c r="V137" s="328">
        <f t="shared" si="167"/>
        <v>5946</v>
      </c>
      <c r="W137" s="328">
        <f t="shared" si="168"/>
        <v>5946</v>
      </c>
      <c r="X137" s="340">
        <v>1</v>
      </c>
      <c r="Y137" s="328">
        <f t="shared" si="169"/>
        <v>5946</v>
      </c>
      <c r="Z137" s="328">
        <f t="shared" si="170"/>
        <v>5946</v>
      </c>
      <c r="AA137" s="328">
        <f t="shared" si="171"/>
        <v>0</v>
      </c>
      <c r="AB137" s="328">
        <f t="shared" si="177"/>
        <v>0</v>
      </c>
      <c r="AC137" s="339">
        <f t="shared" si="172"/>
        <v>98.833333333333329</v>
      </c>
      <c r="AD137" s="325">
        <f t="shared" si="173"/>
        <v>122.75</v>
      </c>
      <c r="AE137" s="339">
        <f t="shared" si="174"/>
        <v>108.83333333333333</v>
      </c>
      <c r="AF137" s="325">
        <f t="shared" si="175"/>
        <v>121.75</v>
      </c>
      <c r="AG137" s="338">
        <f t="shared" si="176"/>
        <v>-8.3333333333333329E-2</v>
      </c>
    </row>
    <row r="138" spans="2:33">
      <c r="B138" s="333" t="s">
        <v>1003</v>
      </c>
      <c r="C138" s="333">
        <v>98</v>
      </c>
      <c r="D138" s="333">
        <v>11</v>
      </c>
      <c r="E138" s="342">
        <v>0</v>
      </c>
      <c r="G138" s="351" t="s">
        <v>888</v>
      </c>
      <c r="H138" s="333">
        <v>10</v>
      </c>
      <c r="I138" s="325">
        <f t="shared" si="160"/>
        <v>108</v>
      </c>
      <c r="L138" s="331">
        <v>6594</v>
      </c>
      <c r="N138" s="328">
        <f t="shared" si="161"/>
        <v>6594</v>
      </c>
      <c r="O138" s="328">
        <f t="shared" si="162"/>
        <v>54.949999999999996</v>
      </c>
      <c r="P138" s="328">
        <f t="shared" si="163"/>
        <v>0</v>
      </c>
      <c r="Q138" s="325">
        <f t="shared" si="164"/>
        <v>0</v>
      </c>
      <c r="R138" s="328">
        <f t="shared" si="165"/>
        <v>0</v>
      </c>
      <c r="S138" s="340">
        <v>1</v>
      </c>
      <c r="T138" s="328">
        <f t="shared" si="166"/>
        <v>0</v>
      </c>
      <c r="V138" s="328">
        <f t="shared" si="167"/>
        <v>6594</v>
      </c>
      <c r="W138" s="328">
        <f t="shared" si="168"/>
        <v>6594</v>
      </c>
      <c r="X138" s="340">
        <v>1</v>
      </c>
      <c r="Y138" s="328">
        <f t="shared" si="169"/>
        <v>6594</v>
      </c>
      <c r="Z138" s="328">
        <f t="shared" si="170"/>
        <v>6594</v>
      </c>
      <c r="AA138" s="328">
        <f t="shared" si="171"/>
        <v>0</v>
      </c>
      <c r="AB138" s="328">
        <f t="shared" si="177"/>
        <v>0</v>
      </c>
      <c r="AC138" s="339">
        <f t="shared" si="172"/>
        <v>98.833333333333329</v>
      </c>
      <c r="AD138" s="325">
        <f t="shared" si="173"/>
        <v>122.75</v>
      </c>
      <c r="AE138" s="339">
        <f t="shared" si="174"/>
        <v>108.83333333333333</v>
      </c>
      <c r="AF138" s="325">
        <f t="shared" si="175"/>
        <v>121.75</v>
      </c>
      <c r="AG138" s="338">
        <f t="shared" si="176"/>
        <v>-8.3333333333333329E-2</v>
      </c>
    </row>
    <row r="139" spans="2:33">
      <c r="B139" s="333" t="s">
        <v>1002</v>
      </c>
      <c r="C139" s="333">
        <v>98</v>
      </c>
      <c r="D139" s="333">
        <v>11</v>
      </c>
      <c r="E139" s="342">
        <v>0</v>
      </c>
      <c r="G139" s="351" t="s">
        <v>888</v>
      </c>
      <c r="H139" s="333">
        <v>10</v>
      </c>
      <c r="I139" s="325">
        <f t="shared" si="160"/>
        <v>108</v>
      </c>
      <c r="L139" s="331">
        <v>2897</v>
      </c>
      <c r="N139" s="328">
        <f t="shared" si="161"/>
        <v>2897</v>
      </c>
      <c r="O139" s="328">
        <f t="shared" si="162"/>
        <v>24.141666666666666</v>
      </c>
      <c r="P139" s="328">
        <f t="shared" si="163"/>
        <v>0</v>
      </c>
      <c r="Q139" s="325">
        <f t="shared" si="164"/>
        <v>0</v>
      </c>
      <c r="R139" s="328">
        <f t="shared" si="165"/>
        <v>0</v>
      </c>
      <c r="S139" s="340">
        <v>1</v>
      </c>
      <c r="T139" s="328">
        <f t="shared" si="166"/>
        <v>0</v>
      </c>
      <c r="V139" s="328">
        <f t="shared" si="167"/>
        <v>2897</v>
      </c>
      <c r="W139" s="328">
        <f t="shared" si="168"/>
        <v>2897</v>
      </c>
      <c r="X139" s="340">
        <v>1</v>
      </c>
      <c r="Y139" s="328">
        <f t="shared" si="169"/>
        <v>2897</v>
      </c>
      <c r="Z139" s="328">
        <f t="shared" si="170"/>
        <v>2897</v>
      </c>
      <c r="AA139" s="328">
        <f t="shared" si="171"/>
        <v>0</v>
      </c>
      <c r="AB139" s="328">
        <f t="shared" si="177"/>
        <v>0</v>
      </c>
      <c r="AC139" s="339">
        <f t="shared" si="172"/>
        <v>98.833333333333329</v>
      </c>
      <c r="AD139" s="325">
        <f t="shared" si="173"/>
        <v>122.75</v>
      </c>
      <c r="AE139" s="339">
        <f t="shared" si="174"/>
        <v>108.83333333333333</v>
      </c>
      <c r="AF139" s="325">
        <f t="shared" si="175"/>
        <v>121.75</v>
      </c>
      <c r="AG139" s="338">
        <f t="shared" si="176"/>
        <v>-8.3333333333333329E-2</v>
      </c>
    </row>
    <row r="140" spans="2:33">
      <c r="B140" s="333" t="s">
        <v>1001</v>
      </c>
      <c r="C140" s="333">
        <v>99</v>
      </c>
      <c r="D140" s="333">
        <v>12</v>
      </c>
      <c r="E140" s="342">
        <v>0</v>
      </c>
      <c r="G140" s="351" t="s">
        <v>888</v>
      </c>
      <c r="H140" s="333">
        <v>10</v>
      </c>
      <c r="I140" s="325">
        <f t="shared" si="160"/>
        <v>109</v>
      </c>
      <c r="L140" s="331">
        <v>4459</v>
      </c>
      <c r="N140" s="328">
        <f t="shared" si="161"/>
        <v>4459</v>
      </c>
      <c r="O140" s="328">
        <f t="shared" si="162"/>
        <v>37.158333333333331</v>
      </c>
      <c r="P140" s="328">
        <f t="shared" si="163"/>
        <v>0</v>
      </c>
      <c r="Q140" s="325">
        <f t="shared" si="164"/>
        <v>0</v>
      </c>
      <c r="R140" s="328">
        <f t="shared" si="165"/>
        <v>0</v>
      </c>
      <c r="S140" s="340">
        <v>1</v>
      </c>
      <c r="T140" s="328">
        <f t="shared" si="166"/>
        <v>0</v>
      </c>
      <c r="V140" s="328">
        <f t="shared" si="167"/>
        <v>4459</v>
      </c>
      <c r="W140" s="328">
        <f t="shared" si="168"/>
        <v>4459</v>
      </c>
      <c r="X140" s="340">
        <v>1</v>
      </c>
      <c r="Y140" s="328">
        <f t="shared" si="169"/>
        <v>4459</v>
      </c>
      <c r="Z140" s="328">
        <f t="shared" si="170"/>
        <v>4459</v>
      </c>
      <c r="AA140" s="328">
        <f t="shared" si="171"/>
        <v>0</v>
      </c>
      <c r="AB140" s="328">
        <f t="shared" si="177"/>
        <v>0</v>
      </c>
      <c r="AC140" s="339">
        <f t="shared" si="172"/>
        <v>99.916666666666671</v>
      </c>
      <c r="AD140" s="325">
        <f t="shared" si="173"/>
        <v>122.75</v>
      </c>
      <c r="AE140" s="339">
        <f t="shared" si="174"/>
        <v>109.91666666666667</v>
      </c>
      <c r="AF140" s="325">
        <f t="shared" si="175"/>
        <v>121.75</v>
      </c>
      <c r="AG140" s="338">
        <f t="shared" si="176"/>
        <v>-8.3333333333333329E-2</v>
      </c>
    </row>
    <row r="141" spans="2:33">
      <c r="B141" s="333" t="s">
        <v>1000</v>
      </c>
      <c r="C141" s="333">
        <v>99</v>
      </c>
      <c r="D141" s="333">
        <v>12</v>
      </c>
      <c r="E141" s="342">
        <v>0</v>
      </c>
      <c r="G141" s="351" t="s">
        <v>888</v>
      </c>
      <c r="H141" s="333">
        <v>10</v>
      </c>
      <c r="I141" s="325">
        <f t="shared" si="160"/>
        <v>109</v>
      </c>
      <c r="L141" s="331">
        <v>5108</v>
      </c>
      <c r="N141" s="328">
        <f t="shared" si="161"/>
        <v>5108</v>
      </c>
      <c r="O141" s="328">
        <f t="shared" si="162"/>
        <v>42.56666666666667</v>
      </c>
      <c r="P141" s="328">
        <f t="shared" si="163"/>
        <v>0</v>
      </c>
      <c r="Q141" s="325">
        <f t="shared" si="164"/>
        <v>0</v>
      </c>
      <c r="R141" s="328">
        <f t="shared" si="165"/>
        <v>0</v>
      </c>
      <c r="S141" s="340">
        <v>1</v>
      </c>
      <c r="T141" s="328">
        <f t="shared" si="166"/>
        <v>0</v>
      </c>
      <c r="V141" s="328">
        <f t="shared" si="167"/>
        <v>5108</v>
      </c>
      <c r="W141" s="328">
        <f t="shared" si="168"/>
        <v>5108</v>
      </c>
      <c r="X141" s="340">
        <v>1</v>
      </c>
      <c r="Y141" s="328">
        <f t="shared" si="169"/>
        <v>5108</v>
      </c>
      <c r="Z141" s="328">
        <f t="shared" si="170"/>
        <v>5108</v>
      </c>
      <c r="AA141" s="328">
        <f t="shared" si="171"/>
        <v>0</v>
      </c>
      <c r="AB141" s="328">
        <f t="shared" si="177"/>
        <v>0</v>
      </c>
      <c r="AC141" s="339">
        <f t="shared" si="172"/>
        <v>99.916666666666671</v>
      </c>
      <c r="AD141" s="325">
        <f t="shared" si="173"/>
        <v>122.75</v>
      </c>
      <c r="AE141" s="339">
        <f t="shared" si="174"/>
        <v>109.91666666666667</v>
      </c>
      <c r="AF141" s="325">
        <f t="shared" si="175"/>
        <v>121.75</v>
      </c>
      <c r="AG141" s="338">
        <f t="shared" si="176"/>
        <v>-8.3333333333333329E-2</v>
      </c>
    </row>
    <row r="142" spans="2:33">
      <c r="B142" s="333" t="s">
        <v>999</v>
      </c>
      <c r="C142" s="333">
        <v>99</v>
      </c>
      <c r="D142" s="333">
        <v>12</v>
      </c>
      <c r="E142" s="342">
        <v>0</v>
      </c>
      <c r="G142" s="351" t="s">
        <v>888</v>
      </c>
      <c r="H142" s="333">
        <v>10</v>
      </c>
      <c r="I142" s="325">
        <f t="shared" si="160"/>
        <v>109</v>
      </c>
      <c r="L142" s="331">
        <v>1654</v>
      </c>
      <c r="N142" s="328">
        <f t="shared" si="161"/>
        <v>1654</v>
      </c>
      <c r="O142" s="328">
        <f t="shared" si="162"/>
        <v>13.783333333333333</v>
      </c>
      <c r="P142" s="328">
        <f t="shared" si="163"/>
        <v>0</v>
      </c>
      <c r="Q142" s="325">
        <f t="shared" si="164"/>
        <v>0</v>
      </c>
      <c r="R142" s="328">
        <f t="shared" si="165"/>
        <v>0</v>
      </c>
      <c r="S142" s="340">
        <v>1</v>
      </c>
      <c r="T142" s="328">
        <f t="shared" si="166"/>
        <v>0</v>
      </c>
      <c r="V142" s="328">
        <f t="shared" si="167"/>
        <v>1654</v>
      </c>
      <c r="W142" s="328">
        <f t="shared" si="168"/>
        <v>1654</v>
      </c>
      <c r="X142" s="340">
        <v>1</v>
      </c>
      <c r="Y142" s="328">
        <f t="shared" si="169"/>
        <v>1654</v>
      </c>
      <c r="Z142" s="328">
        <f t="shared" si="170"/>
        <v>1654</v>
      </c>
      <c r="AA142" s="328">
        <f t="shared" si="171"/>
        <v>0</v>
      </c>
      <c r="AB142" s="328">
        <f t="shared" si="177"/>
        <v>0</v>
      </c>
      <c r="AC142" s="339">
        <f t="shared" si="172"/>
        <v>99.916666666666671</v>
      </c>
      <c r="AD142" s="325">
        <f t="shared" si="173"/>
        <v>122.75</v>
      </c>
      <c r="AE142" s="339">
        <f t="shared" si="174"/>
        <v>109.91666666666667</v>
      </c>
      <c r="AF142" s="325">
        <f t="shared" si="175"/>
        <v>121.75</v>
      </c>
      <c r="AG142" s="338">
        <f t="shared" si="176"/>
        <v>-8.3333333333333329E-2</v>
      </c>
    </row>
    <row r="143" spans="2:33">
      <c r="B143" s="333" t="s">
        <v>997</v>
      </c>
      <c r="C143" s="333">
        <v>101</v>
      </c>
      <c r="D143" s="333">
        <v>5</v>
      </c>
      <c r="E143" s="342">
        <v>0</v>
      </c>
      <c r="G143" s="351" t="s">
        <v>888</v>
      </c>
      <c r="H143" s="333">
        <v>10</v>
      </c>
      <c r="I143" s="325">
        <f t="shared" si="160"/>
        <v>111</v>
      </c>
      <c r="L143" s="331">
        <v>3600</v>
      </c>
      <c r="N143" s="328">
        <f t="shared" si="161"/>
        <v>3600</v>
      </c>
      <c r="O143" s="328">
        <f t="shared" si="162"/>
        <v>30</v>
      </c>
      <c r="P143" s="328">
        <f t="shared" si="163"/>
        <v>0</v>
      </c>
      <c r="Q143" s="325">
        <f t="shared" si="164"/>
        <v>0</v>
      </c>
      <c r="R143" s="328">
        <f t="shared" si="165"/>
        <v>0</v>
      </c>
      <c r="S143" s="340">
        <v>1</v>
      </c>
      <c r="T143" s="328">
        <f t="shared" si="166"/>
        <v>0</v>
      </c>
      <c r="V143" s="328">
        <f t="shared" si="167"/>
        <v>3600</v>
      </c>
      <c r="W143" s="328">
        <f t="shared" si="168"/>
        <v>3600</v>
      </c>
      <c r="X143" s="340">
        <v>1</v>
      </c>
      <c r="Y143" s="328">
        <f t="shared" si="169"/>
        <v>3600</v>
      </c>
      <c r="Z143" s="328">
        <f t="shared" si="170"/>
        <v>3600</v>
      </c>
      <c r="AA143" s="328">
        <f t="shared" si="171"/>
        <v>0</v>
      </c>
      <c r="AB143" s="328">
        <f t="shared" si="177"/>
        <v>0</v>
      </c>
      <c r="AC143" s="339">
        <f t="shared" si="172"/>
        <v>101.33333333333333</v>
      </c>
      <c r="AD143" s="325">
        <f t="shared" si="173"/>
        <v>122.75</v>
      </c>
      <c r="AE143" s="339">
        <f t="shared" si="174"/>
        <v>111.33333333333333</v>
      </c>
      <c r="AF143" s="325">
        <f t="shared" si="175"/>
        <v>121.75</v>
      </c>
      <c r="AG143" s="338">
        <f t="shared" si="176"/>
        <v>-8.3333333333333329E-2</v>
      </c>
    </row>
    <row r="144" spans="2:33">
      <c r="B144" s="333" t="s">
        <v>998</v>
      </c>
      <c r="C144" s="333">
        <v>101</v>
      </c>
      <c r="D144" s="333">
        <v>5</v>
      </c>
      <c r="E144" s="342">
        <v>0</v>
      </c>
      <c r="G144" s="351" t="s">
        <v>888</v>
      </c>
      <c r="H144" s="333">
        <v>10</v>
      </c>
      <c r="I144" s="325">
        <f t="shared" si="160"/>
        <v>111</v>
      </c>
      <c r="L144" s="331">
        <v>2168</v>
      </c>
      <c r="N144" s="328">
        <f t="shared" si="161"/>
        <v>2168</v>
      </c>
      <c r="O144" s="328">
        <f t="shared" si="162"/>
        <v>18.066666666666666</v>
      </c>
      <c r="P144" s="328">
        <f t="shared" si="163"/>
        <v>0</v>
      </c>
      <c r="Q144" s="325">
        <f t="shared" si="164"/>
        <v>0</v>
      </c>
      <c r="R144" s="328">
        <f t="shared" si="165"/>
        <v>0</v>
      </c>
      <c r="S144" s="340">
        <v>1</v>
      </c>
      <c r="T144" s="328">
        <f t="shared" si="166"/>
        <v>0</v>
      </c>
      <c r="V144" s="328">
        <f t="shared" si="167"/>
        <v>2168</v>
      </c>
      <c r="W144" s="328">
        <f t="shared" si="168"/>
        <v>2168</v>
      </c>
      <c r="X144" s="340">
        <v>1</v>
      </c>
      <c r="Y144" s="328">
        <f t="shared" si="169"/>
        <v>2168</v>
      </c>
      <c r="Z144" s="328">
        <f t="shared" si="170"/>
        <v>2168</v>
      </c>
      <c r="AA144" s="328">
        <f t="shared" si="171"/>
        <v>0</v>
      </c>
      <c r="AB144" s="328">
        <f t="shared" si="177"/>
        <v>0</v>
      </c>
      <c r="AC144" s="339">
        <f t="shared" si="172"/>
        <v>101.33333333333333</v>
      </c>
      <c r="AD144" s="325">
        <f t="shared" si="173"/>
        <v>122.75</v>
      </c>
      <c r="AE144" s="339">
        <f t="shared" si="174"/>
        <v>111.33333333333333</v>
      </c>
      <c r="AF144" s="325">
        <f t="shared" si="175"/>
        <v>121.75</v>
      </c>
      <c r="AG144" s="338">
        <f t="shared" si="176"/>
        <v>-8.3333333333333329E-2</v>
      </c>
    </row>
    <row r="145" spans="2:33">
      <c r="B145" s="333" t="s">
        <v>997</v>
      </c>
      <c r="C145" s="333">
        <v>102</v>
      </c>
      <c r="D145" s="333">
        <v>6</v>
      </c>
      <c r="E145" s="342">
        <v>0</v>
      </c>
      <c r="G145" s="351" t="s">
        <v>888</v>
      </c>
      <c r="H145" s="333">
        <v>10</v>
      </c>
      <c r="I145" s="325">
        <f t="shared" si="160"/>
        <v>112</v>
      </c>
      <c r="L145" s="331">
        <v>3221</v>
      </c>
      <c r="N145" s="328">
        <f t="shared" si="161"/>
        <v>3221</v>
      </c>
      <c r="O145" s="328">
        <f t="shared" si="162"/>
        <v>26.841666666666669</v>
      </c>
      <c r="P145" s="328">
        <f t="shared" si="163"/>
        <v>0</v>
      </c>
      <c r="Q145" s="325">
        <f t="shared" si="164"/>
        <v>0</v>
      </c>
      <c r="R145" s="328">
        <f t="shared" si="165"/>
        <v>0</v>
      </c>
      <c r="S145" s="340">
        <v>1</v>
      </c>
      <c r="T145" s="328">
        <f t="shared" si="166"/>
        <v>0</v>
      </c>
      <c r="V145" s="328">
        <f t="shared" si="167"/>
        <v>3221</v>
      </c>
      <c r="W145" s="328">
        <f t="shared" si="168"/>
        <v>3221</v>
      </c>
      <c r="X145" s="340">
        <v>1</v>
      </c>
      <c r="Y145" s="328">
        <f t="shared" si="169"/>
        <v>3221</v>
      </c>
      <c r="Z145" s="328">
        <f t="shared" si="170"/>
        <v>3221</v>
      </c>
      <c r="AA145" s="328">
        <f t="shared" si="171"/>
        <v>0</v>
      </c>
      <c r="AB145" s="328">
        <f t="shared" si="177"/>
        <v>0</v>
      </c>
      <c r="AC145" s="339">
        <f t="shared" si="172"/>
        <v>102.41666666666667</v>
      </c>
      <c r="AD145" s="325">
        <f t="shared" si="173"/>
        <v>122.75</v>
      </c>
      <c r="AE145" s="339">
        <f t="shared" si="174"/>
        <v>112.41666666666667</v>
      </c>
      <c r="AF145" s="325">
        <f t="shared" si="175"/>
        <v>121.75</v>
      </c>
      <c r="AG145" s="338">
        <f t="shared" si="176"/>
        <v>-8.3333333333333329E-2</v>
      </c>
    </row>
    <row r="146" spans="2:33">
      <c r="B146" s="333" t="s">
        <v>996</v>
      </c>
      <c r="C146" s="333">
        <v>102</v>
      </c>
      <c r="D146" s="333">
        <v>6</v>
      </c>
      <c r="E146" s="342">
        <v>0</v>
      </c>
      <c r="G146" s="351" t="s">
        <v>888</v>
      </c>
      <c r="H146" s="333">
        <v>10</v>
      </c>
      <c r="I146" s="325">
        <f t="shared" si="160"/>
        <v>112</v>
      </c>
      <c r="L146" s="331">
        <v>5319</v>
      </c>
      <c r="N146" s="328">
        <f t="shared" si="161"/>
        <v>5319</v>
      </c>
      <c r="O146" s="328">
        <f t="shared" si="162"/>
        <v>44.324999999999996</v>
      </c>
      <c r="P146" s="328">
        <f t="shared" si="163"/>
        <v>0</v>
      </c>
      <c r="Q146" s="325">
        <f t="shared" si="164"/>
        <v>0</v>
      </c>
      <c r="R146" s="328">
        <f t="shared" si="165"/>
        <v>0</v>
      </c>
      <c r="S146" s="340">
        <v>1</v>
      </c>
      <c r="T146" s="328">
        <f t="shared" si="166"/>
        <v>0</v>
      </c>
      <c r="V146" s="328">
        <f t="shared" si="167"/>
        <v>5319</v>
      </c>
      <c r="W146" s="328">
        <f t="shared" si="168"/>
        <v>5319</v>
      </c>
      <c r="X146" s="340">
        <v>1</v>
      </c>
      <c r="Y146" s="328">
        <f t="shared" si="169"/>
        <v>5319</v>
      </c>
      <c r="Z146" s="328">
        <f t="shared" si="170"/>
        <v>5319</v>
      </c>
      <c r="AA146" s="328">
        <f t="shared" si="171"/>
        <v>0</v>
      </c>
      <c r="AB146" s="328">
        <f t="shared" si="177"/>
        <v>0</v>
      </c>
      <c r="AC146" s="339">
        <f t="shared" si="172"/>
        <v>102.41666666666667</v>
      </c>
      <c r="AD146" s="325">
        <f t="shared" si="173"/>
        <v>122.75</v>
      </c>
      <c r="AE146" s="339">
        <f t="shared" si="174"/>
        <v>112.41666666666667</v>
      </c>
      <c r="AF146" s="325">
        <f t="shared" si="175"/>
        <v>121.75</v>
      </c>
      <c r="AG146" s="338">
        <f t="shared" si="176"/>
        <v>-8.3333333333333329E-2</v>
      </c>
    </row>
    <row r="147" spans="2:33">
      <c r="B147" s="333" t="s">
        <v>995</v>
      </c>
      <c r="C147" s="333">
        <v>102</v>
      </c>
      <c r="D147" s="333">
        <v>6</v>
      </c>
      <c r="E147" s="342">
        <v>0</v>
      </c>
      <c r="G147" s="351" t="s">
        <v>888</v>
      </c>
      <c r="H147" s="333">
        <v>10</v>
      </c>
      <c r="I147" s="325">
        <f t="shared" si="160"/>
        <v>112</v>
      </c>
      <c r="L147" s="331">
        <v>1773</v>
      </c>
      <c r="N147" s="328">
        <f t="shared" si="161"/>
        <v>1773</v>
      </c>
      <c r="O147" s="328">
        <f t="shared" si="162"/>
        <v>14.775</v>
      </c>
      <c r="P147" s="328">
        <f t="shared" si="163"/>
        <v>0</v>
      </c>
      <c r="Q147" s="325">
        <f t="shared" si="164"/>
        <v>0</v>
      </c>
      <c r="R147" s="328">
        <f t="shared" si="165"/>
        <v>0</v>
      </c>
      <c r="S147" s="340">
        <v>1</v>
      </c>
      <c r="T147" s="328">
        <f t="shared" si="166"/>
        <v>0</v>
      </c>
      <c r="V147" s="328">
        <f t="shared" si="167"/>
        <v>1773</v>
      </c>
      <c r="W147" s="328">
        <f t="shared" si="168"/>
        <v>1773</v>
      </c>
      <c r="X147" s="340">
        <v>1</v>
      </c>
      <c r="Y147" s="328">
        <f t="shared" si="169"/>
        <v>1773</v>
      </c>
      <c r="Z147" s="328">
        <f t="shared" si="170"/>
        <v>1773</v>
      </c>
      <c r="AA147" s="328">
        <f t="shared" si="171"/>
        <v>0</v>
      </c>
      <c r="AB147" s="328">
        <f t="shared" si="177"/>
        <v>0</v>
      </c>
      <c r="AC147" s="339">
        <f t="shared" si="172"/>
        <v>102.41666666666667</v>
      </c>
      <c r="AD147" s="325">
        <f t="shared" si="173"/>
        <v>122.75</v>
      </c>
      <c r="AE147" s="339">
        <f t="shared" si="174"/>
        <v>112.41666666666667</v>
      </c>
      <c r="AF147" s="325">
        <f t="shared" si="175"/>
        <v>121.75</v>
      </c>
      <c r="AG147" s="338">
        <f t="shared" si="176"/>
        <v>-8.3333333333333329E-2</v>
      </c>
    </row>
    <row r="148" spans="2:33">
      <c r="B148" s="333" t="s">
        <v>994</v>
      </c>
      <c r="C148" s="333">
        <v>102</v>
      </c>
      <c r="D148" s="333">
        <v>6</v>
      </c>
      <c r="E148" s="342">
        <v>0</v>
      </c>
      <c r="G148" s="351" t="s">
        <v>888</v>
      </c>
      <c r="H148" s="333">
        <v>10</v>
      </c>
      <c r="I148" s="325">
        <f t="shared" si="160"/>
        <v>112</v>
      </c>
      <c r="L148" s="331">
        <v>1119</v>
      </c>
      <c r="N148" s="328">
        <f t="shared" si="161"/>
        <v>1119</v>
      </c>
      <c r="O148" s="328">
        <f t="shared" si="162"/>
        <v>9.3250000000000011</v>
      </c>
      <c r="P148" s="328">
        <f t="shared" si="163"/>
        <v>0</v>
      </c>
      <c r="Q148" s="325">
        <f t="shared" si="164"/>
        <v>0</v>
      </c>
      <c r="R148" s="328">
        <f t="shared" si="165"/>
        <v>0</v>
      </c>
      <c r="S148" s="340">
        <v>1</v>
      </c>
      <c r="T148" s="328">
        <f t="shared" si="166"/>
        <v>0</v>
      </c>
      <c r="V148" s="328">
        <f t="shared" si="167"/>
        <v>1119</v>
      </c>
      <c r="W148" s="328">
        <f t="shared" si="168"/>
        <v>1119</v>
      </c>
      <c r="X148" s="340">
        <v>1</v>
      </c>
      <c r="Y148" s="328">
        <f t="shared" si="169"/>
        <v>1119</v>
      </c>
      <c r="Z148" s="328">
        <f t="shared" si="170"/>
        <v>1119</v>
      </c>
      <c r="AA148" s="328">
        <f t="shared" si="171"/>
        <v>0</v>
      </c>
      <c r="AB148" s="328">
        <f t="shared" si="177"/>
        <v>0</v>
      </c>
      <c r="AC148" s="339">
        <f t="shared" si="172"/>
        <v>102.41666666666667</v>
      </c>
      <c r="AD148" s="325">
        <f t="shared" si="173"/>
        <v>122.75</v>
      </c>
      <c r="AE148" s="339">
        <f t="shared" si="174"/>
        <v>112.41666666666667</v>
      </c>
      <c r="AF148" s="325">
        <f t="shared" si="175"/>
        <v>121.75</v>
      </c>
      <c r="AG148" s="338">
        <f t="shared" si="176"/>
        <v>-8.3333333333333329E-2</v>
      </c>
    </row>
    <row r="149" spans="2:33">
      <c r="B149" s="333" t="s">
        <v>993</v>
      </c>
      <c r="C149" s="333">
        <v>102</v>
      </c>
      <c r="D149" s="333">
        <v>6</v>
      </c>
      <c r="E149" s="342">
        <v>0</v>
      </c>
      <c r="G149" s="351" t="s">
        <v>888</v>
      </c>
      <c r="H149" s="333">
        <v>10</v>
      </c>
      <c r="I149" s="325">
        <f t="shared" si="160"/>
        <v>112</v>
      </c>
      <c r="L149" s="331">
        <v>2194</v>
      </c>
      <c r="N149" s="328">
        <f t="shared" si="161"/>
        <v>2194</v>
      </c>
      <c r="O149" s="328">
        <f t="shared" si="162"/>
        <v>18.283333333333335</v>
      </c>
      <c r="P149" s="328">
        <f t="shared" si="163"/>
        <v>0</v>
      </c>
      <c r="Q149" s="325">
        <f t="shared" si="164"/>
        <v>0</v>
      </c>
      <c r="R149" s="328">
        <f t="shared" si="165"/>
        <v>0</v>
      </c>
      <c r="S149" s="340">
        <v>1</v>
      </c>
      <c r="T149" s="328">
        <f t="shared" si="166"/>
        <v>0</v>
      </c>
      <c r="V149" s="328">
        <f t="shared" si="167"/>
        <v>2194</v>
      </c>
      <c r="W149" s="328">
        <f t="shared" si="168"/>
        <v>2194</v>
      </c>
      <c r="X149" s="340">
        <v>1</v>
      </c>
      <c r="Y149" s="328">
        <f t="shared" si="169"/>
        <v>2194</v>
      </c>
      <c r="Z149" s="328">
        <f t="shared" si="170"/>
        <v>2194</v>
      </c>
      <c r="AA149" s="328">
        <f t="shared" si="171"/>
        <v>0</v>
      </c>
      <c r="AB149" s="328">
        <f t="shared" si="177"/>
        <v>0</v>
      </c>
      <c r="AC149" s="339">
        <f t="shared" si="172"/>
        <v>102.41666666666667</v>
      </c>
      <c r="AD149" s="325">
        <f t="shared" si="173"/>
        <v>122.75</v>
      </c>
      <c r="AE149" s="339">
        <f t="shared" si="174"/>
        <v>112.41666666666667</v>
      </c>
      <c r="AF149" s="325">
        <f t="shared" si="175"/>
        <v>121.75</v>
      </c>
      <c r="AG149" s="338">
        <f t="shared" si="176"/>
        <v>-8.3333333333333329E-2</v>
      </c>
    </row>
    <row r="150" spans="2:33">
      <c r="B150" s="333" t="s">
        <v>992</v>
      </c>
      <c r="C150" s="333">
        <v>103</v>
      </c>
      <c r="D150" s="333">
        <v>6</v>
      </c>
      <c r="E150" s="342">
        <v>0</v>
      </c>
      <c r="G150" s="351" t="s">
        <v>888</v>
      </c>
      <c r="H150" s="333">
        <v>10</v>
      </c>
      <c r="I150" s="325">
        <f t="shared" si="160"/>
        <v>113</v>
      </c>
      <c r="L150" s="331">
        <v>3292</v>
      </c>
      <c r="N150" s="328">
        <f t="shared" si="161"/>
        <v>3292</v>
      </c>
      <c r="O150" s="328">
        <f t="shared" si="162"/>
        <v>27.433333333333334</v>
      </c>
      <c r="P150" s="328">
        <f t="shared" si="163"/>
        <v>0</v>
      </c>
      <c r="Q150" s="325">
        <f t="shared" si="164"/>
        <v>0</v>
      </c>
      <c r="R150" s="328">
        <f t="shared" si="165"/>
        <v>0</v>
      </c>
      <c r="S150" s="340">
        <v>1</v>
      </c>
      <c r="T150" s="328">
        <f t="shared" si="166"/>
        <v>0</v>
      </c>
      <c r="V150" s="328">
        <f t="shared" si="167"/>
        <v>3292</v>
      </c>
      <c r="W150" s="328">
        <f t="shared" si="168"/>
        <v>3292</v>
      </c>
      <c r="X150" s="340">
        <v>1</v>
      </c>
      <c r="Y150" s="328">
        <f t="shared" si="169"/>
        <v>3292</v>
      </c>
      <c r="Z150" s="328">
        <f t="shared" si="170"/>
        <v>3292</v>
      </c>
      <c r="AA150" s="328">
        <f t="shared" si="171"/>
        <v>0</v>
      </c>
      <c r="AB150" s="328">
        <f t="shared" si="177"/>
        <v>0</v>
      </c>
      <c r="AC150" s="339">
        <f t="shared" si="172"/>
        <v>103.41666666666667</v>
      </c>
      <c r="AD150" s="325">
        <f t="shared" si="173"/>
        <v>122.75</v>
      </c>
      <c r="AE150" s="339">
        <f t="shared" si="174"/>
        <v>113.41666666666667</v>
      </c>
      <c r="AF150" s="325">
        <f t="shared" si="175"/>
        <v>121.75</v>
      </c>
      <c r="AG150" s="338">
        <f t="shared" si="176"/>
        <v>-8.3333333333333329E-2</v>
      </c>
    </row>
    <row r="151" spans="2:33">
      <c r="B151" s="333" t="s">
        <v>990</v>
      </c>
      <c r="C151" s="333">
        <v>103</v>
      </c>
      <c r="D151" s="333">
        <v>6</v>
      </c>
      <c r="E151" s="342">
        <v>0</v>
      </c>
      <c r="G151" s="351" t="s">
        <v>888</v>
      </c>
      <c r="H151" s="333">
        <v>10</v>
      </c>
      <c r="I151" s="325">
        <f t="shared" si="160"/>
        <v>113</v>
      </c>
      <c r="L151" s="331">
        <v>5279</v>
      </c>
      <c r="N151" s="328">
        <f t="shared" si="161"/>
        <v>5279</v>
      </c>
      <c r="O151" s="328">
        <f t="shared" si="162"/>
        <v>43.991666666666667</v>
      </c>
      <c r="P151" s="328">
        <f t="shared" si="163"/>
        <v>0</v>
      </c>
      <c r="Q151" s="325">
        <f t="shared" si="164"/>
        <v>0</v>
      </c>
      <c r="R151" s="328">
        <f t="shared" si="165"/>
        <v>0</v>
      </c>
      <c r="S151" s="340">
        <v>1</v>
      </c>
      <c r="T151" s="328">
        <f t="shared" si="166"/>
        <v>0</v>
      </c>
      <c r="V151" s="328">
        <f t="shared" si="167"/>
        <v>5279</v>
      </c>
      <c r="W151" s="328">
        <f t="shared" si="168"/>
        <v>5279</v>
      </c>
      <c r="X151" s="340">
        <v>1</v>
      </c>
      <c r="Y151" s="328">
        <f t="shared" si="169"/>
        <v>5279</v>
      </c>
      <c r="Z151" s="328">
        <f t="shared" si="170"/>
        <v>5279</v>
      </c>
      <c r="AA151" s="328">
        <f t="shared" si="171"/>
        <v>0</v>
      </c>
      <c r="AB151" s="328">
        <f t="shared" si="177"/>
        <v>0</v>
      </c>
      <c r="AC151" s="339">
        <f t="shared" si="172"/>
        <v>103.41666666666667</v>
      </c>
      <c r="AD151" s="325">
        <f t="shared" si="173"/>
        <v>122.75</v>
      </c>
      <c r="AE151" s="339">
        <f t="shared" si="174"/>
        <v>113.41666666666667</v>
      </c>
      <c r="AF151" s="325">
        <f t="shared" si="175"/>
        <v>121.75</v>
      </c>
      <c r="AG151" s="338">
        <f t="shared" si="176"/>
        <v>-8.3333333333333329E-2</v>
      </c>
    </row>
    <row r="152" spans="2:33">
      <c r="B152" s="333" t="s">
        <v>979</v>
      </c>
      <c r="C152" s="333">
        <v>103</v>
      </c>
      <c r="D152" s="333">
        <v>6</v>
      </c>
      <c r="E152" s="342">
        <v>0</v>
      </c>
      <c r="G152" s="351" t="s">
        <v>888</v>
      </c>
      <c r="H152" s="333">
        <v>10</v>
      </c>
      <c r="I152" s="325">
        <f t="shared" si="160"/>
        <v>113</v>
      </c>
      <c r="L152" s="331">
        <v>3065</v>
      </c>
      <c r="N152" s="328">
        <f t="shared" si="161"/>
        <v>3065</v>
      </c>
      <c r="O152" s="328">
        <f t="shared" si="162"/>
        <v>25.541666666666668</v>
      </c>
      <c r="P152" s="328">
        <f t="shared" si="163"/>
        <v>0</v>
      </c>
      <c r="Q152" s="325">
        <f t="shared" si="164"/>
        <v>0</v>
      </c>
      <c r="R152" s="328">
        <f t="shared" si="165"/>
        <v>0</v>
      </c>
      <c r="S152" s="340">
        <v>1</v>
      </c>
      <c r="T152" s="328">
        <f t="shared" si="166"/>
        <v>0</v>
      </c>
      <c r="V152" s="328">
        <f t="shared" si="167"/>
        <v>3065</v>
      </c>
      <c r="W152" s="328">
        <f t="shared" si="168"/>
        <v>3065</v>
      </c>
      <c r="X152" s="340">
        <v>1</v>
      </c>
      <c r="Y152" s="328">
        <f t="shared" si="169"/>
        <v>3065</v>
      </c>
      <c r="Z152" s="328">
        <f t="shared" si="170"/>
        <v>3065</v>
      </c>
      <c r="AA152" s="328">
        <f t="shared" si="171"/>
        <v>0</v>
      </c>
      <c r="AB152" s="328">
        <f t="shared" si="177"/>
        <v>0</v>
      </c>
      <c r="AC152" s="339">
        <f t="shared" si="172"/>
        <v>103.41666666666667</v>
      </c>
      <c r="AD152" s="325">
        <f t="shared" si="173"/>
        <v>122.75</v>
      </c>
      <c r="AE152" s="339">
        <f t="shared" si="174"/>
        <v>113.41666666666667</v>
      </c>
      <c r="AF152" s="325">
        <f t="shared" si="175"/>
        <v>121.75</v>
      </c>
      <c r="AG152" s="338">
        <f t="shared" si="176"/>
        <v>-8.3333333333333329E-2</v>
      </c>
    </row>
    <row r="153" spans="2:33">
      <c r="B153" s="333" t="s">
        <v>986</v>
      </c>
      <c r="C153" s="333">
        <v>103</v>
      </c>
      <c r="D153" s="333">
        <v>6</v>
      </c>
      <c r="E153" s="342">
        <v>0</v>
      </c>
      <c r="G153" s="351" t="s">
        <v>888</v>
      </c>
      <c r="H153" s="333">
        <v>10</v>
      </c>
      <c r="I153" s="325">
        <f t="shared" si="160"/>
        <v>113</v>
      </c>
      <c r="L153" s="331">
        <v>1998</v>
      </c>
      <c r="N153" s="328">
        <f t="shared" si="161"/>
        <v>1998</v>
      </c>
      <c r="O153" s="328">
        <f t="shared" si="162"/>
        <v>16.650000000000002</v>
      </c>
      <c r="P153" s="328">
        <f t="shared" si="163"/>
        <v>0</v>
      </c>
      <c r="Q153" s="325">
        <f t="shared" si="164"/>
        <v>0</v>
      </c>
      <c r="R153" s="328">
        <f t="shared" si="165"/>
        <v>0</v>
      </c>
      <c r="S153" s="340">
        <v>1</v>
      </c>
      <c r="T153" s="328">
        <f t="shared" si="166"/>
        <v>0</v>
      </c>
      <c r="V153" s="328">
        <f t="shared" si="167"/>
        <v>1998</v>
      </c>
      <c r="W153" s="328">
        <f t="shared" si="168"/>
        <v>1998</v>
      </c>
      <c r="X153" s="340">
        <v>1</v>
      </c>
      <c r="Y153" s="328">
        <f t="shared" si="169"/>
        <v>1998</v>
      </c>
      <c r="Z153" s="328">
        <f t="shared" si="170"/>
        <v>1998</v>
      </c>
      <c r="AA153" s="328">
        <f t="shared" si="171"/>
        <v>0</v>
      </c>
      <c r="AB153" s="328">
        <f t="shared" si="177"/>
        <v>0</v>
      </c>
      <c r="AC153" s="339">
        <f t="shared" si="172"/>
        <v>103.41666666666667</v>
      </c>
      <c r="AD153" s="325">
        <f t="shared" si="173"/>
        <v>122.75</v>
      </c>
      <c r="AE153" s="339">
        <f t="shared" si="174"/>
        <v>113.41666666666667</v>
      </c>
      <c r="AF153" s="325">
        <f t="shared" si="175"/>
        <v>121.75</v>
      </c>
      <c r="AG153" s="338">
        <f t="shared" si="176"/>
        <v>-8.3333333333333329E-2</v>
      </c>
    </row>
    <row r="154" spans="2:33">
      <c r="B154" s="333" t="s">
        <v>991</v>
      </c>
      <c r="C154" s="333">
        <v>103</v>
      </c>
      <c r="D154" s="333">
        <v>12</v>
      </c>
      <c r="E154" s="342">
        <v>0</v>
      </c>
      <c r="G154" s="351" t="s">
        <v>888</v>
      </c>
      <c r="H154" s="333">
        <v>10</v>
      </c>
      <c r="I154" s="325">
        <f t="shared" si="160"/>
        <v>113</v>
      </c>
      <c r="L154" s="331">
        <v>5027</v>
      </c>
      <c r="N154" s="328">
        <f t="shared" si="161"/>
        <v>5027</v>
      </c>
      <c r="O154" s="328">
        <f t="shared" si="162"/>
        <v>41.891666666666666</v>
      </c>
      <c r="P154" s="328">
        <f t="shared" si="163"/>
        <v>0</v>
      </c>
      <c r="Q154" s="325">
        <f t="shared" si="164"/>
        <v>0</v>
      </c>
      <c r="R154" s="328">
        <f t="shared" si="165"/>
        <v>0</v>
      </c>
      <c r="S154" s="340">
        <v>1</v>
      </c>
      <c r="T154" s="328">
        <f t="shared" si="166"/>
        <v>0</v>
      </c>
      <c r="V154" s="328">
        <f t="shared" si="167"/>
        <v>5027</v>
      </c>
      <c r="W154" s="328">
        <f t="shared" si="168"/>
        <v>5027</v>
      </c>
      <c r="X154" s="340">
        <v>1</v>
      </c>
      <c r="Y154" s="328">
        <f t="shared" si="169"/>
        <v>5027</v>
      </c>
      <c r="Z154" s="328">
        <f t="shared" si="170"/>
        <v>5027</v>
      </c>
      <c r="AA154" s="328">
        <f t="shared" si="171"/>
        <v>0</v>
      </c>
      <c r="AB154" s="328">
        <f t="shared" si="177"/>
        <v>0</v>
      </c>
      <c r="AC154" s="339">
        <f t="shared" si="172"/>
        <v>103.91666666666667</v>
      </c>
      <c r="AD154" s="325">
        <f t="shared" si="173"/>
        <v>122.75</v>
      </c>
      <c r="AE154" s="339">
        <f t="shared" si="174"/>
        <v>113.91666666666667</v>
      </c>
      <c r="AF154" s="325">
        <f t="shared" si="175"/>
        <v>121.75</v>
      </c>
      <c r="AG154" s="338">
        <f t="shared" si="176"/>
        <v>-8.3333333333333329E-2</v>
      </c>
    </row>
    <row r="155" spans="2:33">
      <c r="B155" s="333" t="s">
        <v>990</v>
      </c>
      <c r="C155" s="333">
        <v>103</v>
      </c>
      <c r="D155" s="333">
        <v>12</v>
      </c>
      <c r="E155" s="342">
        <v>0</v>
      </c>
      <c r="G155" s="351" t="s">
        <v>888</v>
      </c>
      <c r="H155" s="333">
        <v>10</v>
      </c>
      <c r="I155" s="325">
        <f t="shared" si="160"/>
        <v>113</v>
      </c>
      <c r="L155" s="331">
        <v>5546</v>
      </c>
      <c r="N155" s="328">
        <f t="shared" si="161"/>
        <v>5546</v>
      </c>
      <c r="O155" s="328">
        <f t="shared" si="162"/>
        <v>46.216666666666669</v>
      </c>
      <c r="P155" s="328">
        <f t="shared" si="163"/>
        <v>0</v>
      </c>
      <c r="Q155" s="325">
        <f t="shared" si="164"/>
        <v>0</v>
      </c>
      <c r="R155" s="328">
        <f t="shared" si="165"/>
        <v>0</v>
      </c>
      <c r="S155" s="340">
        <v>1</v>
      </c>
      <c r="T155" s="328">
        <f t="shared" si="166"/>
        <v>0</v>
      </c>
      <c r="V155" s="328">
        <f t="shared" si="167"/>
        <v>5546</v>
      </c>
      <c r="W155" s="328">
        <f t="shared" si="168"/>
        <v>5546</v>
      </c>
      <c r="X155" s="340">
        <v>1</v>
      </c>
      <c r="Y155" s="328">
        <f t="shared" si="169"/>
        <v>5546</v>
      </c>
      <c r="Z155" s="328">
        <f t="shared" si="170"/>
        <v>5546</v>
      </c>
      <c r="AA155" s="328">
        <f t="shared" si="171"/>
        <v>0</v>
      </c>
      <c r="AB155" s="328">
        <f t="shared" si="177"/>
        <v>0</v>
      </c>
      <c r="AC155" s="339">
        <f t="shared" si="172"/>
        <v>103.91666666666667</v>
      </c>
      <c r="AD155" s="325">
        <f t="shared" si="173"/>
        <v>122.75</v>
      </c>
      <c r="AE155" s="339">
        <f t="shared" si="174"/>
        <v>113.91666666666667</v>
      </c>
      <c r="AF155" s="325">
        <f t="shared" si="175"/>
        <v>121.75</v>
      </c>
      <c r="AG155" s="338">
        <f t="shared" si="176"/>
        <v>-8.3333333333333329E-2</v>
      </c>
    </row>
    <row r="156" spans="2:33">
      <c r="B156" s="333" t="s">
        <v>986</v>
      </c>
      <c r="C156" s="333">
        <v>103</v>
      </c>
      <c r="D156" s="333">
        <v>12</v>
      </c>
      <c r="E156" s="342">
        <v>0</v>
      </c>
      <c r="G156" s="351" t="s">
        <v>888</v>
      </c>
      <c r="H156" s="333">
        <v>10</v>
      </c>
      <c r="I156" s="325">
        <f t="shared" si="160"/>
        <v>113</v>
      </c>
      <c r="L156" s="331">
        <v>1903</v>
      </c>
      <c r="N156" s="328">
        <f t="shared" si="161"/>
        <v>1903</v>
      </c>
      <c r="O156" s="328">
        <f t="shared" si="162"/>
        <v>15.858333333333334</v>
      </c>
      <c r="P156" s="328">
        <f t="shared" si="163"/>
        <v>0</v>
      </c>
      <c r="Q156" s="325">
        <f t="shared" si="164"/>
        <v>0</v>
      </c>
      <c r="R156" s="328">
        <f t="shared" si="165"/>
        <v>0</v>
      </c>
      <c r="S156" s="340">
        <v>1</v>
      </c>
      <c r="T156" s="328">
        <f t="shared" si="166"/>
        <v>0</v>
      </c>
      <c r="V156" s="328">
        <f t="shared" si="167"/>
        <v>1903</v>
      </c>
      <c r="W156" s="328">
        <f t="shared" si="168"/>
        <v>1903</v>
      </c>
      <c r="X156" s="340">
        <v>1</v>
      </c>
      <c r="Y156" s="328">
        <f t="shared" si="169"/>
        <v>1903</v>
      </c>
      <c r="Z156" s="328">
        <f t="shared" si="170"/>
        <v>1903</v>
      </c>
      <c r="AA156" s="328">
        <f t="shared" si="171"/>
        <v>0</v>
      </c>
      <c r="AB156" s="328">
        <f t="shared" si="177"/>
        <v>0</v>
      </c>
      <c r="AC156" s="339">
        <f t="shared" si="172"/>
        <v>103.91666666666667</v>
      </c>
      <c r="AD156" s="325">
        <f t="shared" si="173"/>
        <v>122.75</v>
      </c>
      <c r="AE156" s="339">
        <f t="shared" si="174"/>
        <v>113.91666666666667</v>
      </c>
      <c r="AF156" s="325">
        <f t="shared" si="175"/>
        <v>121.75</v>
      </c>
      <c r="AG156" s="338">
        <f t="shared" si="176"/>
        <v>-8.3333333333333329E-2</v>
      </c>
    </row>
    <row r="157" spans="2:33">
      <c r="B157" s="333" t="s">
        <v>986</v>
      </c>
      <c r="C157" s="333">
        <v>104</v>
      </c>
      <c r="D157" s="333">
        <v>3</v>
      </c>
      <c r="E157" s="342">
        <v>0</v>
      </c>
      <c r="G157" s="351" t="s">
        <v>888</v>
      </c>
      <c r="H157" s="333">
        <v>10</v>
      </c>
      <c r="I157" s="325">
        <f t="shared" si="160"/>
        <v>114</v>
      </c>
      <c r="L157" s="331">
        <v>2586</v>
      </c>
      <c r="N157" s="328">
        <f t="shared" si="161"/>
        <v>2586</v>
      </c>
      <c r="O157" s="328">
        <f t="shared" si="162"/>
        <v>21.55</v>
      </c>
      <c r="P157" s="328">
        <f t="shared" si="163"/>
        <v>0</v>
      </c>
      <c r="Q157" s="325">
        <f t="shared" si="164"/>
        <v>0</v>
      </c>
      <c r="R157" s="328">
        <f t="shared" si="165"/>
        <v>0</v>
      </c>
      <c r="S157" s="340">
        <v>1</v>
      </c>
      <c r="T157" s="328">
        <f t="shared" si="166"/>
        <v>0</v>
      </c>
      <c r="V157" s="328">
        <f t="shared" si="167"/>
        <v>2586</v>
      </c>
      <c r="W157" s="328">
        <f t="shared" si="168"/>
        <v>2586</v>
      </c>
      <c r="X157" s="340">
        <v>1</v>
      </c>
      <c r="Y157" s="328">
        <f t="shared" si="169"/>
        <v>2586</v>
      </c>
      <c r="Z157" s="328">
        <f t="shared" si="170"/>
        <v>2586</v>
      </c>
      <c r="AA157" s="328">
        <f t="shared" si="171"/>
        <v>0</v>
      </c>
      <c r="AB157" s="328">
        <f t="shared" si="177"/>
        <v>0</v>
      </c>
      <c r="AC157" s="339">
        <f t="shared" si="172"/>
        <v>104.16666666666667</v>
      </c>
      <c r="AD157" s="325">
        <f t="shared" si="173"/>
        <v>122.75</v>
      </c>
      <c r="AE157" s="339">
        <f t="shared" si="174"/>
        <v>114.16666666666667</v>
      </c>
      <c r="AF157" s="325">
        <f t="shared" si="175"/>
        <v>121.75</v>
      </c>
      <c r="AG157" s="338">
        <f t="shared" si="176"/>
        <v>-8.3333333333333329E-2</v>
      </c>
    </row>
    <row r="158" spans="2:33">
      <c r="B158" s="333" t="s">
        <v>978</v>
      </c>
      <c r="C158" s="333">
        <v>104</v>
      </c>
      <c r="D158" s="333">
        <v>4</v>
      </c>
      <c r="E158" s="342">
        <v>0</v>
      </c>
      <c r="G158" s="351" t="s">
        <v>888</v>
      </c>
      <c r="H158" s="333">
        <v>10</v>
      </c>
      <c r="I158" s="325">
        <f t="shared" si="160"/>
        <v>114</v>
      </c>
      <c r="L158" s="331">
        <v>1571</v>
      </c>
      <c r="N158" s="328">
        <f t="shared" si="161"/>
        <v>1571</v>
      </c>
      <c r="O158" s="328">
        <f t="shared" si="162"/>
        <v>13.091666666666667</v>
      </c>
      <c r="P158" s="328">
        <f t="shared" si="163"/>
        <v>0</v>
      </c>
      <c r="Q158" s="325">
        <f t="shared" si="164"/>
        <v>0</v>
      </c>
      <c r="R158" s="328">
        <f t="shared" si="165"/>
        <v>0</v>
      </c>
      <c r="S158" s="340">
        <v>1</v>
      </c>
      <c r="T158" s="328">
        <f t="shared" si="166"/>
        <v>0</v>
      </c>
      <c r="V158" s="328">
        <f t="shared" si="167"/>
        <v>1571</v>
      </c>
      <c r="W158" s="328">
        <f t="shared" si="168"/>
        <v>1571</v>
      </c>
      <c r="X158" s="340">
        <v>1</v>
      </c>
      <c r="Y158" s="328">
        <f t="shared" si="169"/>
        <v>1571</v>
      </c>
      <c r="Z158" s="328">
        <f t="shared" si="170"/>
        <v>1571</v>
      </c>
      <c r="AA158" s="328">
        <f t="shared" si="171"/>
        <v>0</v>
      </c>
      <c r="AB158" s="328">
        <f t="shared" si="177"/>
        <v>0</v>
      </c>
      <c r="AC158" s="339">
        <f t="shared" si="172"/>
        <v>104.25</v>
      </c>
      <c r="AD158" s="325">
        <f t="shared" si="173"/>
        <v>122.75</v>
      </c>
      <c r="AE158" s="339">
        <f t="shared" si="174"/>
        <v>114.25</v>
      </c>
      <c r="AF158" s="325">
        <f t="shared" si="175"/>
        <v>121.75</v>
      </c>
      <c r="AG158" s="338">
        <f t="shared" si="176"/>
        <v>-8.3333333333333329E-2</v>
      </c>
    </row>
    <row r="159" spans="2:33">
      <c r="B159" s="333" t="s">
        <v>989</v>
      </c>
      <c r="C159" s="333">
        <v>104</v>
      </c>
      <c r="D159" s="333">
        <v>4</v>
      </c>
      <c r="E159" s="342">
        <v>0</v>
      </c>
      <c r="G159" s="351" t="s">
        <v>888</v>
      </c>
      <c r="H159" s="333">
        <v>10</v>
      </c>
      <c r="I159" s="325">
        <f t="shared" si="160"/>
        <v>114</v>
      </c>
      <c r="L159" s="331">
        <v>3159</v>
      </c>
      <c r="N159" s="328">
        <f t="shared" si="161"/>
        <v>3159</v>
      </c>
      <c r="O159" s="328">
        <f t="shared" si="162"/>
        <v>26.324999999999999</v>
      </c>
      <c r="P159" s="328">
        <f t="shared" si="163"/>
        <v>0</v>
      </c>
      <c r="Q159" s="325">
        <f t="shared" si="164"/>
        <v>0</v>
      </c>
      <c r="R159" s="328">
        <f t="shared" si="165"/>
        <v>0</v>
      </c>
      <c r="S159" s="340">
        <v>1</v>
      </c>
      <c r="T159" s="328">
        <f t="shared" si="166"/>
        <v>0</v>
      </c>
      <c r="V159" s="328">
        <f t="shared" si="167"/>
        <v>3159</v>
      </c>
      <c r="W159" s="328">
        <f t="shared" si="168"/>
        <v>3159</v>
      </c>
      <c r="X159" s="340">
        <v>1</v>
      </c>
      <c r="Y159" s="328">
        <f t="shared" si="169"/>
        <v>3159</v>
      </c>
      <c r="Z159" s="328">
        <f t="shared" si="170"/>
        <v>3159</v>
      </c>
      <c r="AA159" s="328">
        <f t="shared" si="171"/>
        <v>0</v>
      </c>
      <c r="AB159" s="328">
        <f t="shared" si="177"/>
        <v>0</v>
      </c>
      <c r="AC159" s="339">
        <f t="shared" si="172"/>
        <v>104.25</v>
      </c>
      <c r="AD159" s="325">
        <f t="shared" si="173"/>
        <v>122.75</v>
      </c>
      <c r="AE159" s="339">
        <f t="shared" si="174"/>
        <v>114.25</v>
      </c>
      <c r="AF159" s="325">
        <f t="shared" si="175"/>
        <v>121.75</v>
      </c>
      <c r="AG159" s="338">
        <f t="shared" si="176"/>
        <v>-8.3333333333333329E-2</v>
      </c>
    </row>
    <row r="160" spans="2:33">
      <c r="B160" s="333" t="s">
        <v>988</v>
      </c>
      <c r="C160" s="333">
        <v>104</v>
      </c>
      <c r="D160" s="333">
        <v>12</v>
      </c>
      <c r="E160" s="342">
        <v>0</v>
      </c>
      <c r="G160" s="351" t="s">
        <v>888</v>
      </c>
      <c r="H160" s="333">
        <v>10</v>
      </c>
      <c r="I160" s="325">
        <f t="shared" si="160"/>
        <v>114</v>
      </c>
      <c r="L160" s="331">
        <v>7476</v>
      </c>
      <c r="N160" s="328">
        <f t="shared" si="161"/>
        <v>7476</v>
      </c>
      <c r="O160" s="328">
        <f t="shared" si="162"/>
        <v>62.300000000000004</v>
      </c>
      <c r="P160" s="328">
        <f t="shared" si="163"/>
        <v>0</v>
      </c>
      <c r="Q160" s="325">
        <f t="shared" si="164"/>
        <v>0</v>
      </c>
      <c r="R160" s="328">
        <f t="shared" si="165"/>
        <v>0</v>
      </c>
      <c r="S160" s="340">
        <v>1</v>
      </c>
      <c r="T160" s="328">
        <f t="shared" si="166"/>
        <v>0</v>
      </c>
      <c r="V160" s="328">
        <f t="shared" si="167"/>
        <v>7476</v>
      </c>
      <c r="W160" s="328">
        <f t="shared" si="168"/>
        <v>7476</v>
      </c>
      <c r="X160" s="340">
        <v>1</v>
      </c>
      <c r="Y160" s="328">
        <f t="shared" si="169"/>
        <v>7476</v>
      </c>
      <c r="Z160" s="328">
        <f t="shared" si="170"/>
        <v>7476</v>
      </c>
      <c r="AA160" s="328">
        <f t="shared" si="171"/>
        <v>0</v>
      </c>
      <c r="AB160" s="328">
        <f t="shared" si="177"/>
        <v>0</v>
      </c>
      <c r="AC160" s="339">
        <f t="shared" si="172"/>
        <v>104.91666666666667</v>
      </c>
      <c r="AD160" s="325">
        <f t="shared" si="173"/>
        <v>122.75</v>
      </c>
      <c r="AE160" s="339">
        <f t="shared" si="174"/>
        <v>114.91666666666667</v>
      </c>
      <c r="AF160" s="325">
        <f t="shared" si="175"/>
        <v>121.75</v>
      </c>
      <c r="AG160" s="338">
        <f t="shared" si="176"/>
        <v>-8.3333333333333329E-2</v>
      </c>
    </row>
    <row r="161" spans="1:33">
      <c r="B161" s="333" t="s">
        <v>987</v>
      </c>
      <c r="C161" s="333">
        <v>104</v>
      </c>
      <c r="D161" s="333">
        <v>12</v>
      </c>
      <c r="E161" s="342">
        <v>0</v>
      </c>
      <c r="G161" s="351" t="s">
        <v>888</v>
      </c>
      <c r="H161" s="333">
        <v>10</v>
      </c>
      <c r="I161" s="325">
        <f t="shared" si="160"/>
        <v>114</v>
      </c>
      <c r="L161" s="331">
        <v>6540</v>
      </c>
      <c r="N161" s="328">
        <f t="shared" si="161"/>
        <v>6540</v>
      </c>
      <c r="O161" s="328">
        <f t="shared" si="162"/>
        <v>54.5</v>
      </c>
      <c r="P161" s="328">
        <f t="shared" si="163"/>
        <v>0</v>
      </c>
      <c r="Q161" s="325">
        <f t="shared" si="164"/>
        <v>0</v>
      </c>
      <c r="R161" s="328">
        <f t="shared" si="165"/>
        <v>0</v>
      </c>
      <c r="S161" s="340">
        <v>1</v>
      </c>
      <c r="T161" s="328">
        <f t="shared" si="166"/>
        <v>0</v>
      </c>
      <c r="V161" s="328">
        <f t="shared" si="167"/>
        <v>6540</v>
      </c>
      <c r="W161" s="328">
        <f t="shared" si="168"/>
        <v>6540</v>
      </c>
      <c r="X161" s="340">
        <v>1</v>
      </c>
      <c r="Y161" s="328">
        <f t="shared" si="169"/>
        <v>6540</v>
      </c>
      <c r="Z161" s="328">
        <f t="shared" si="170"/>
        <v>6540</v>
      </c>
      <c r="AA161" s="328">
        <f t="shared" si="171"/>
        <v>0</v>
      </c>
      <c r="AB161" s="328">
        <f t="shared" si="177"/>
        <v>0</v>
      </c>
      <c r="AC161" s="339">
        <f t="shared" si="172"/>
        <v>104.91666666666667</v>
      </c>
      <c r="AD161" s="325">
        <f t="shared" si="173"/>
        <v>122.75</v>
      </c>
      <c r="AE161" s="339">
        <f t="shared" si="174"/>
        <v>114.91666666666667</v>
      </c>
      <c r="AF161" s="325">
        <f t="shared" si="175"/>
        <v>121.75</v>
      </c>
      <c r="AG161" s="338">
        <f t="shared" si="176"/>
        <v>-8.3333333333333329E-2</v>
      </c>
    </row>
    <row r="162" spans="1:33">
      <c r="B162" s="333" t="s">
        <v>986</v>
      </c>
      <c r="C162" s="333">
        <v>105</v>
      </c>
      <c r="D162" s="333">
        <v>7</v>
      </c>
      <c r="E162" s="342">
        <v>0</v>
      </c>
      <c r="G162" s="351" t="s">
        <v>888</v>
      </c>
      <c r="H162" s="333">
        <v>10</v>
      </c>
      <c r="I162" s="325">
        <f t="shared" si="160"/>
        <v>115</v>
      </c>
      <c r="L162" s="331">
        <v>2532</v>
      </c>
      <c r="N162" s="328">
        <f t="shared" si="161"/>
        <v>2532</v>
      </c>
      <c r="O162" s="328">
        <f t="shared" si="162"/>
        <v>21.099999999999998</v>
      </c>
      <c r="P162" s="328">
        <f t="shared" si="163"/>
        <v>0</v>
      </c>
      <c r="Q162" s="325">
        <f t="shared" si="164"/>
        <v>0</v>
      </c>
      <c r="R162" s="328">
        <f t="shared" si="165"/>
        <v>0</v>
      </c>
      <c r="S162" s="340">
        <v>1</v>
      </c>
      <c r="T162" s="328">
        <f t="shared" si="166"/>
        <v>0</v>
      </c>
      <c r="V162" s="328">
        <f t="shared" si="167"/>
        <v>2532</v>
      </c>
      <c r="W162" s="328">
        <f t="shared" si="168"/>
        <v>2532</v>
      </c>
      <c r="X162" s="340">
        <v>1</v>
      </c>
      <c r="Y162" s="328">
        <f t="shared" si="169"/>
        <v>2532</v>
      </c>
      <c r="Z162" s="328">
        <f t="shared" si="170"/>
        <v>2532</v>
      </c>
      <c r="AA162" s="328">
        <f t="shared" si="171"/>
        <v>0</v>
      </c>
      <c r="AB162" s="328">
        <f t="shared" si="177"/>
        <v>0</v>
      </c>
      <c r="AC162" s="339">
        <f t="shared" si="172"/>
        <v>105.5</v>
      </c>
      <c r="AD162" s="325">
        <f t="shared" si="173"/>
        <v>122.75</v>
      </c>
      <c r="AE162" s="339">
        <f t="shared" si="174"/>
        <v>115.5</v>
      </c>
      <c r="AF162" s="325">
        <f t="shared" si="175"/>
        <v>121.75</v>
      </c>
      <c r="AG162" s="338">
        <f t="shared" si="176"/>
        <v>-8.3333333333333329E-2</v>
      </c>
    </row>
    <row r="163" spans="1:33">
      <c r="B163" s="333" t="s">
        <v>984</v>
      </c>
      <c r="C163" s="333">
        <v>105</v>
      </c>
      <c r="D163" s="333">
        <v>7</v>
      </c>
      <c r="E163" s="342">
        <v>0</v>
      </c>
      <c r="G163" s="351" t="s">
        <v>888</v>
      </c>
      <c r="H163" s="333">
        <v>10</v>
      </c>
      <c r="I163" s="325">
        <f t="shared" si="160"/>
        <v>115</v>
      </c>
      <c r="L163" s="331">
        <v>2012</v>
      </c>
      <c r="N163" s="328">
        <f t="shared" si="161"/>
        <v>2012</v>
      </c>
      <c r="O163" s="328">
        <f t="shared" si="162"/>
        <v>16.766666666666666</v>
      </c>
      <c r="P163" s="328">
        <f t="shared" si="163"/>
        <v>0</v>
      </c>
      <c r="Q163" s="325">
        <f t="shared" si="164"/>
        <v>0</v>
      </c>
      <c r="R163" s="328">
        <f t="shared" si="165"/>
        <v>0</v>
      </c>
      <c r="S163" s="340">
        <v>1</v>
      </c>
      <c r="T163" s="328">
        <f t="shared" si="166"/>
        <v>0</v>
      </c>
      <c r="V163" s="328">
        <f t="shared" si="167"/>
        <v>2012</v>
      </c>
      <c r="W163" s="328">
        <f t="shared" si="168"/>
        <v>2012</v>
      </c>
      <c r="X163" s="340">
        <v>1</v>
      </c>
      <c r="Y163" s="328">
        <f t="shared" si="169"/>
        <v>2012</v>
      </c>
      <c r="Z163" s="328">
        <f t="shared" si="170"/>
        <v>2012</v>
      </c>
      <c r="AA163" s="328">
        <f t="shared" si="171"/>
        <v>0</v>
      </c>
      <c r="AB163" s="328">
        <f t="shared" si="177"/>
        <v>0</v>
      </c>
      <c r="AC163" s="339">
        <f t="shared" si="172"/>
        <v>105.5</v>
      </c>
      <c r="AD163" s="325">
        <f t="shared" si="173"/>
        <v>122.75</v>
      </c>
      <c r="AE163" s="339">
        <f t="shared" si="174"/>
        <v>115.5</v>
      </c>
      <c r="AF163" s="325">
        <f t="shared" si="175"/>
        <v>121.75</v>
      </c>
      <c r="AG163" s="338">
        <f t="shared" si="176"/>
        <v>-8.3333333333333329E-2</v>
      </c>
    </row>
    <row r="164" spans="1:33">
      <c r="B164" s="333" t="s">
        <v>985</v>
      </c>
      <c r="C164" s="333">
        <v>106</v>
      </c>
      <c r="D164" s="333">
        <v>2</v>
      </c>
      <c r="E164" s="342">
        <v>0</v>
      </c>
      <c r="G164" s="351" t="s">
        <v>888</v>
      </c>
      <c r="H164" s="333">
        <v>10</v>
      </c>
      <c r="I164" s="325">
        <f t="shared" si="160"/>
        <v>116</v>
      </c>
      <c r="L164" s="331">
        <v>3689</v>
      </c>
      <c r="N164" s="328">
        <f t="shared" si="161"/>
        <v>3689</v>
      </c>
      <c r="O164" s="328">
        <f t="shared" si="162"/>
        <v>30.741666666666664</v>
      </c>
      <c r="P164" s="328">
        <f t="shared" si="163"/>
        <v>0</v>
      </c>
      <c r="Q164" s="325">
        <f t="shared" si="164"/>
        <v>0</v>
      </c>
      <c r="R164" s="328">
        <f t="shared" si="165"/>
        <v>0</v>
      </c>
      <c r="S164" s="340">
        <v>1</v>
      </c>
      <c r="T164" s="328">
        <f t="shared" si="166"/>
        <v>0</v>
      </c>
      <c r="V164" s="328">
        <f t="shared" si="167"/>
        <v>3689</v>
      </c>
      <c r="W164" s="328">
        <f t="shared" si="168"/>
        <v>3689</v>
      </c>
      <c r="X164" s="340">
        <v>1</v>
      </c>
      <c r="Y164" s="328">
        <f t="shared" si="169"/>
        <v>3689</v>
      </c>
      <c r="Z164" s="328">
        <f t="shared" si="170"/>
        <v>3689</v>
      </c>
      <c r="AA164" s="328">
        <f t="shared" si="171"/>
        <v>0</v>
      </c>
      <c r="AB164" s="328">
        <f t="shared" si="177"/>
        <v>0</v>
      </c>
      <c r="AC164" s="339">
        <f t="shared" si="172"/>
        <v>106.08333333333333</v>
      </c>
      <c r="AD164" s="325">
        <f t="shared" si="173"/>
        <v>122.75</v>
      </c>
      <c r="AE164" s="339">
        <f t="shared" si="174"/>
        <v>116.08333333333333</v>
      </c>
      <c r="AF164" s="325">
        <f t="shared" si="175"/>
        <v>121.75</v>
      </c>
      <c r="AG164" s="338">
        <f t="shared" si="176"/>
        <v>-8.3333333333333329E-2</v>
      </c>
    </row>
    <row r="165" spans="1:33">
      <c r="B165" s="333" t="s">
        <v>984</v>
      </c>
      <c r="C165" s="333">
        <v>107</v>
      </c>
      <c r="D165" s="333">
        <v>6</v>
      </c>
      <c r="E165" s="342">
        <v>0</v>
      </c>
      <c r="G165" s="351" t="s">
        <v>888</v>
      </c>
      <c r="H165" s="333">
        <v>10</v>
      </c>
      <c r="I165" s="325">
        <f t="shared" si="160"/>
        <v>117</v>
      </c>
      <c r="L165" s="331">
        <v>2387</v>
      </c>
      <c r="N165" s="328">
        <f t="shared" si="161"/>
        <v>2387</v>
      </c>
      <c r="O165" s="328">
        <f t="shared" si="162"/>
        <v>19.891666666666666</v>
      </c>
      <c r="P165" s="328">
        <f t="shared" si="163"/>
        <v>0</v>
      </c>
      <c r="Q165" s="325">
        <f t="shared" si="164"/>
        <v>0</v>
      </c>
      <c r="R165" s="328">
        <f t="shared" si="165"/>
        <v>0</v>
      </c>
      <c r="S165" s="340">
        <v>1</v>
      </c>
      <c r="T165" s="328">
        <f t="shared" si="166"/>
        <v>0</v>
      </c>
      <c r="V165" s="328">
        <f t="shared" si="167"/>
        <v>2387</v>
      </c>
      <c r="W165" s="328">
        <f t="shared" si="168"/>
        <v>2387</v>
      </c>
      <c r="X165" s="340">
        <v>1</v>
      </c>
      <c r="Y165" s="328">
        <f t="shared" si="169"/>
        <v>2387</v>
      </c>
      <c r="Z165" s="328">
        <f t="shared" si="170"/>
        <v>2387</v>
      </c>
      <c r="AA165" s="328">
        <f t="shared" si="171"/>
        <v>0</v>
      </c>
      <c r="AB165" s="328">
        <f t="shared" si="177"/>
        <v>0</v>
      </c>
      <c r="AC165" s="339">
        <f t="shared" si="172"/>
        <v>107.41666666666667</v>
      </c>
      <c r="AD165" s="325">
        <f t="shared" si="173"/>
        <v>122.75</v>
      </c>
      <c r="AE165" s="339">
        <f t="shared" si="174"/>
        <v>117.41666666666667</v>
      </c>
      <c r="AF165" s="325">
        <f t="shared" si="175"/>
        <v>121.75</v>
      </c>
      <c r="AG165" s="338">
        <f t="shared" si="176"/>
        <v>-8.3333333333333329E-2</v>
      </c>
    </row>
    <row r="166" spans="1:33">
      <c r="B166" s="333" t="s">
        <v>983</v>
      </c>
      <c r="C166" s="333">
        <v>107</v>
      </c>
      <c r="D166" s="333">
        <v>6</v>
      </c>
      <c r="E166" s="342">
        <v>0</v>
      </c>
      <c r="G166" s="351" t="s">
        <v>888</v>
      </c>
      <c r="H166" s="333">
        <v>10</v>
      </c>
      <c r="I166" s="325">
        <f t="shared" si="160"/>
        <v>117</v>
      </c>
      <c r="L166" s="331">
        <v>5443</v>
      </c>
      <c r="N166" s="328">
        <f t="shared" si="161"/>
        <v>5443</v>
      </c>
      <c r="O166" s="328">
        <f t="shared" si="162"/>
        <v>45.358333333333327</v>
      </c>
      <c r="P166" s="328">
        <f t="shared" si="163"/>
        <v>0</v>
      </c>
      <c r="Q166" s="325">
        <f t="shared" si="164"/>
        <v>0</v>
      </c>
      <c r="R166" s="328">
        <f t="shared" si="165"/>
        <v>0</v>
      </c>
      <c r="S166" s="340">
        <v>1</v>
      </c>
      <c r="T166" s="328">
        <f t="shared" si="166"/>
        <v>0</v>
      </c>
      <c r="V166" s="328">
        <f t="shared" si="167"/>
        <v>5443</v>
      </c>
      <c r="W166" s="328">
        <f t="shared" si="168"/>
        <v>5443</v>
      </c>
      <c r="X166" s="340">
        <v>1</v>
      </c>
      <c r="Y166" s="328">
        <f t="shared" si="169"/>
        <v>5443</v>
      </c>
      <c r="Z166" s="328">
        <f t="shared" si="170"/>
        <v>5443</v>
      </c>
      <c r="AA166" s="328">
        <f t="shared" si="171"/>
        <v>0</v>
      </c>
      <c r="AB166" s="328">
        <f t="shared" si="177"/>
        <v>0</v>
      </c>
      <c r="AC166" s="339">
        <f t="shared" si="172"/>
        <v>107.41666666666667</v>
      </c>
      <c r="AD166" s="325">
        <f t="shared" si="173"/>
        <v>122.75</v>
      </c>
      <c r="AE166" s="339">
        <f t="shared" si="174"/>
        <v>117.41666666666667</v>
      </c>
      <c r="AF166" s="325">
        <f t="shared" si="175"/>
        <v>121.75</v>
      </c>
      <c r="AG166" s="338">
        <f t="shared" si="176"/>
        <v>-8.3333333333333329E-2</v>
      </c>
    </row>
    <row r="167" spans="1:33">
      <c r="B167" s="333" t="s">
        <v>982</v>
      </c>
      <c r="C167" s="333">
        <v>107</v>
      </c>
      <c r="D167" s="333">
        <v>6</v>
      </c>
      <c r="E167" s="342">
        <v>0</v>
      </c>
      <c r="G167" s="351" t="s">
        <v>888</v>
      </c>
      <c r="H167" s="333">
        <v>10</v>
      </c>
      <c r="I167" s="325">
        <f t="shared" ref="I167:I201" si="178">C167+H167</f>
        <v>117</v>
      </c>
      <c r="L167" s="331">
        <v>6135</v>
      </c>
      <c r="N167" s="328">
        <f t="shared" ref="N167:N201" si="179">L167-L167*E167</f>
        <v>6135</v>
      </c>
      <c r="O167" s="328">
        <f t="shared" ref="O167:O201" si="180">N167/H167/12</f>
        <v>51.125</v>
      </c>
      <c r="P167" s="328">
        <f t="shared" ref="P167:P201" si="181">IF(M167&gt;0,0,IF(OR(AC167&gt;AD167,AE167&lt;AF167),0,IF(AND(AE167&gt;=AF167,AE167&lt;=AD167),O167*((AE167-AF167)*12),IF(AND(AF167&lt;=AC167,AD167&gt;=AC167),((AD167-AC167)*12)*O167,IF(AE167&gt;AD167,12*O167,0)))))</f>
        <v>0</v>
      </c>
      <c r="Q167" s="325">
        <f t="shared" ref="Q167:Q201" si="182">IF(M167=0,0,IF(AND(AG167&gt;=AF167,AG167&lt;=AE167),((AG167-AF167)*12)*O167,0))</f>
        <v>0</v>
      </c>
      <c r="R167" s="328">
        <f t="shared" ref="R167:R201" si="183">IF(Q167&gt;0,Q167,P167)</f>
        <v>0</v>
      </c>
      <c r="S167" s="340">
        <v>1</v>
      </c>
      <c r="T167" s="328">
        <f t="shared" ref="T167:T201" si="184">S167*SUM(P167:Q167)</f>
        <v>0</v>
      </c>
      <c r="V167" s="328">
        <f t="shared" ref="V167:V201" si="185">IF(AC167&gt;AD167,0,IF(AE167&lt;AF167,N167,IF(AND(AE167&gt;=AF167,AE167&lt;=AD167),(N167-R167),IF(AND(AF167&lt;=AC167,AD167&gt;=AC167),0,IF(AE167&gt;AD167,((AF167-AC167)*12)*O167,0)))))</f>
        <v>6135</v>
      </c>
      <c r="W167" s="328">
        <f t="shared" ref="W167:W201" si="186">V167*S167</f>
        <v>6135</v>
      </c>
      <c r="X167" s="340">
        <v>1</v>
      </c>
      <c r="Y167" s="328">
        <f t="shared" ref="Y167:Y201" si="187">W167*X167</f>
        <v>6135</v>
      </c>
      <c r="Z167" s="328">
        <f t="shared" ref="Z167:Z201" si="188">IF(M167&gt;0,0,Y167+T167*X167)*X167</f>
        <v>6135</v>
      </c>
      <c r="AA167" s="328">
        <f t="shared" ref="AA167:AA201" si="189">IF(M167&gt;0,(L167-Y167)/2,IF(AC167&gt;=AF167,(((L167*S167)*X167)-Z167)/2,((((L167*S167)*X167)-Y167)+(((L167*S167)*X167)-Z167))/2))</f>
        <v>0</v>
      </c>
      <c r="AB167" s="328">
        <f t="shared" si="177"/>
        <v>0</v>
      </c>
      <c r="AC167" s="339">
        <f t="shared" ref="AC167:AC201" si="190">$C167+(($D167-1)/12)</f>
        <v>107.41666666666667</v>
      </c>
      <c r="AD167" s="325">
        <f t="shared" ref="AD167:AD201" si="191">($N$5+1)-($N$2/12)</f>
        <v>122.75</v>
      </c>
      <c r="AE167" s="339">
        <f t="shared" ref="AE167:AE201" si="192">$I167+(($D167-1)/12)</f>
        <v>117.41666666666667</v>
      </c>
      <c r="AF167" s="325">
        <f t="shared" ref="AF167:AF201" si="193">$N$4+($N$3/12)</f>
        <v>121.75</v>
      </c>
      <c r="AG167" s="338">
        <f t="shared" ref="AG167:AG201" si="194">$J167+(($K167-1)/12)</f>
        <v>-8.3333333333333329E-2</v>
      </c>
    </row>
    <row r="168" spans="1:33">
      <c r="B168" s="333" t="s">
        <v>981</v>
      </c>
      <c r="C168" s="333">
        <v>108</v>
      </c>
      <c r="D168" s="333">
        <v>5</v>
      </c>
      <c r="E168" s="342">
        <v>0</v>
      </c>
      <c r="G168" s="351" t="s">
        <v>888</v>
      </c>
      <c r="H168" s="333">
        <v>7</v>
      </c>
      <c r="I168" s="325">
        <f t="shared" si="178"/>
        <v>115</v>
      </c>
      <c r="L168" s="331">
        <v>6217</v>
      </c>
      <c r="N168" s="328">
        <f t="shared" si="179"/>
        <v>6217</v>
      </c>
      <c r="O168" s="328">
        <f t="shared" si="180"/>
        <v>74.011904761904759</v>
      </c>
      <c r="P168" s="328">
        <f t="shared" si="181"/>
        <v>0</v>
      </c>
      <c r="Q168" s="325">
        <f t="shared" si="182"/>
        <v>0</v>
      </c>
      <c r="R168" s="328">
        <f t="shared" si="183"/>
        <v>0</v>
      </c>
      <c r="S168" s="340">
        <v>1</v>
      </c>
      <c r="T168" s="328">
        <f t="shared" si="184"/>
        <v>0</v>
      </c>
      <c r="V168" s="328">
        <f t="shared" si="185"/>
        <v>6217</v>
      </c>
      <c r="W168" s="328">
        <f t="shared" si="186"/>
        <v>6217</v>
      </c>
      <c r="X168" s="340">
        <v>1</v>
      </c>
      <c r="Y168" s="328">
        <f t="shared" si="187"/>
        <v>6217</v>
      </c>
      <c r="Z168" s="328">
        <f t="shared" si="188"/>
        <v>6217</v>
      </c>
      <c r="AA168" s="328">
        <f t="shared" si="189"/>
        <v>0</v>
      </c>
      <c r="AB168" s="328">
        <f t="shared" si="177"/>
        <v>0</v>
      </c>
      <c r="AC168" s="339">
        <f t="shared" si="190"/>
        <v>108.33333333333333</v>
      </c>
      <c r="AD168" s="325">
        <f t="shared" si="191"/>
        <v>122.75</v>
      </c>
      <c r="AE168" s="339">
        <f t="shared" si="192"/>
        <v>115.33333333333333</v>
      </c>
      <c r="AF168" s="325">
        <f t="shared" si="193"/>
        <v>121.75</v>
      </c>
      <c r="AG168" s="338">
        <f t="shared" si="194"/>
        <v>-8.3333333333333329E-2</v>
      </c>
    </row>
    <row r="169" spans="1:33">
      <c r="B169" s="333" t="s">
        <v>980</v>
      </c>
      <c r="C169" s="333">
        <v>108</v>
      </c>
      <c r="D169" s="333">
        <v>5</v>
      </c>
      <c r="E169" s="342">
        <v>0</v>
      </c>
      <c r="G169" s="351" t="s">
        <v>888</v>
      </c>
      <c r="H169" s="333">
        <v>7</v>
      </c>
      <c r="I169" s="325">
        <f t="shared" si="178"/>
        <v>115</v>
      </c>
      <c r="L169" s="331">
        <v>4876</v>
      </c>
      <c r="N169" s="328">
        <f t="shared" si="179"/>
        <v>4876</v>
      </c>
      <c r="O169" s="328">
        <f t="shared" si="180"/>
        <v>58.047619047619044</v>
      </c>
      <c r="P169" s="328">
        <f t="shared" si="181"/>
        <v>0</v>
      </c>
      <c r="Q169" s="325">
        <f t="shared" si="182"/>
        <v>0</v>
      </c>
      <c r="R169" s="328">
        <f t="shared" si="183"/>
        <v>0</v>
      </c>
      <c r="S169" s="340">
        <v>1</v>
      </c>
      <c r="T169" s="328">
        <f t="shared" si="184"/>
        <v>0</v>
      </c>
      <c r="V169" s="328">
        <f t="shared" si="185"/>
        <v>4876</v>
      </c>
      <c r="W169" s="328">
        <f t="shared" si="186"/>
        <v>4876</v>
      </c>
      <c r="X169" s="340">
        <v>1</v>
      </c>
      <c r="Y169" s="328">
        <f t="shared" si="187"/>
        <v>4876</v>
      </c>
      <c r="Z169" s="328">
        <f t="shared" si="188"/>
        <v>4876</v>
      </c>
      <c r="AA169" s="328">
        <f t="shared" si="189"/>
        <v>0</v>
      </c>
      <c r="AB169" s="328">
        <f t="shared" si="177"/>
        <v>0</v>
      </c>
      <c r="AC169" s="339">
        <f t="shared" si="190"/>
        <v>108.33333333333333</v>
      </c>
      <c r="AD169" s="325">
        <f t="shared" si="191"/>
        <v>122.75</v>
      </c>
      <c r="AE169" s="339">
        <f t="shared" si="192"/>
        <v>115.33333333333333</v>
      </c>
      <c r="AF169" s="325">
        <f t="shared" si="193"/>
        <v>121.75</v>
      </c>
      <c r="AG169" s="338">
        <f t="shared" si="194"/>
        <v>-8.3333333333333329E-2</v>
      </c>
    </row>
    <row r="170" spans="1:33">
      <c r="B170" s="333" t="s">
        <v>979</v>
      </c>
      <c r="C170" s="333">
        <v>110</v>
      </c>
      <c r="D170" s="333">
        <v>5</v>
      </c>
      <c r="E170" s="342">
        <v>0</v>
      </c>
      <c r="G170" s="351" t="s">
        <v>888</v>
      </c>
      <c r="H170" s="333">
        <v>10</v>
      </c>
      <c r="I170" s="325">
        <f t="shared" si="178"/>
        <v>120</v>
      </c>
      <c r="L170" s="441">
        <v>4389</v>
      </c>
      <c r="N170" s="328">
        <f t="shared" si="179"/>
        <v>4389</v>
      </c>
      <c r="O170" s="328">
        <f t="shared" si="180"/>
        <v>36.574999999999996</v>
      </c>
      <c r="P170" s="328">
        <f t="shared" si="181"/>
        <v>0</v>
      </c>
      <c r="Q170" s="325">
        <f t="shared" si="182"/>
        <v>0</v>
      </c>
      <c r="R170" s="328">
        <f t="shared" si="183"/>
        <v>0</v>
      </c>
      <c r="S170" s="340">
        <v>1</v>
      </c>
      <c r="T170" s="328">
        <f t="shared" si="184"/>
        <v>0</v>
      </c>
      <c r="V170" s="328">
        <f t="shared" si="185"/>
        <v>4389</v>
      </c>
      <c r="W170" s="328">
        <f t="shared" si="186"/>
        <v>4389</v>
      </c>
      <c r="X170" s="340">
        <v>1</v>
      </c>
      <c r="Y170" s="328">
        <f t="shared" si="187"/>
        <v>4389</v>
      </c>
      <c r="Z170" s="328">
        <f t="shared" si="188"/>
        <v>4389</v>
      </c>
      <c r="AA170" s="328">
        <f t="shared" si="189"/>
        <v>0</v>
      </c>
      <c r="AB170" s="328">
        <f t="shared" si="177"/>
        <v>0</v>
      </c>
      <c r="AC170" s="339">
        <f t="shared" si="190"/>
        <v>110.33333333333333</v>
      </c>
      <c r="AD170" s="325">
        <f t="shared" si="191"/>
        <v>122.75</v>
      </c>
      <c r="AE170" s="339">
        <f t="shared" si="192"/>
        <v>120.33333333333333</v>
      </c>
      <c r="AF170" s="325">
        <f t="shared" si="193"/>
        <v>121.75</v>
      </c>
      <c r="AG170" s="338">
        <f t="shared" si="194"/>
        <v>-8.3333333333333329E-2</v>
      </c>
    </row>
    <row r="171" spans="1:33">
      <c r="B171" s="333" t="s">
        <v>978</v>
      </c>
      <c r="C171" s="333">
        <v>110</v>
      </c>
      <c r="D171" s="333">
        <v>6</v>
      </c>
      <c r="E171" s="342">
        <v>0</v>
      </c>
      <c r="G171" s="351" t="s">
        <v>888</v>
      </c>
      <c r="H171" s="333">
        <v>7</v>
      </c>
      <c r="I171" s="325">
        <f t="shared" si="178"/>
        <v>117</v>
      </c>
      <c r="L171" s="331">
        <v>1144</v>
      </c>
      <c r="N171" s="328">
        <f t="shared" si="179"/>
        <v>1144</v>
      </c>
      <c r="O171" s="328">
        <f t="shared" si="180"/>
        <v>13.619047619047619</v>
      </c>
      <c r="P171" s="328">
        <f t="shared" si="181"/>
        <v>0</v>
      </c>
      <c r="Q171" s="325">
        <f t="shared" si="182"/>
        <v>0</v>
      </c>
      <c r="R171" s="328">
        <f t="shared" si="183"/>
        <v>0</v>
      </c>
      <c r="S171" s="340">
        <v>1</v>
      </c>
      <c r="T171" s="328">
        <f t="shared" si="184"/>
        <v>0</v>
      </c>
      <c r="V171" s="328">
        <f t="shared" si="185"/>
        <v>1144</v>
      </c>
      <c r="W171" s="328">
        <f t="shared" si="186"/>
        <v>1144</v>
      </c>
      <c r="X171" s="340">
        <v>1</v>
      </c>
      <c r="Y171" s="328">
        <f t="shared" si="187"/>
        <v>1144</v>
      </c>
      <c r="Z171" s="328">
        <f t="shared" si="188"/>
        <v>1144</v>
      </c>
      <c r="AA171" s="328">
        <f t="shared" si="189"/>
        <v>0</v>
      </c>
      <c r="AB171" s="328">
        <f t="shared" si="177"/>
        <v>0</v>
      </c>
      <c r="AC171" s="339">
        <f t="shared" si="190"/>
        <v>110.41666666666667</v>
      </c>
      <c r="AD171" s="325">
        <f t="shared" si="191"/>
        <v>122.75</v>
      </c>
      <c r="AE171" s="339">
        <f t="shared" si="192"/>
        <v>117.41666666666667</v>
      </c>
      <c r="AF171" s="325">
        <f t="shared" si="193"/>
        <v>121.75</v>
      </c>
      <c r="AG171" s="338">
        <f t="shared" si="194"/>
        <v>-8.3333333333333329E-2</v>
      </c>
    </row>
    <row r="172" spans="1:33">
      <c r="B172" s="333" t="s">
        <v>977</v>
      </c>
      <c r="C172" s="333">
        <v>110</v>
      </c>
      <c r="D172" s="333">
        <v>6</v>
      </c>
      <c r="E172" s="342">
        <v>0</v>
      </c>
      <c r="G172" s="351" t="s">
        <v>888</v>
      </c>
      <c r="H172" s="333">
        <v>7</v>
      </c>
      <c r="I172" s="325">
        <f t="shared" si="178"/>
        <v>117</v>
      </c>
      <c r="L172" s="331">
        <v>3882</v>
      </c>
      <c r="N172" s="328">
        <f t="shared" si="179"/>
        <v>3882</v>
      </c>
      <c r="O172" s="328">
        <f t="shared" si="180"/>
        <v>46.214285714285715</v>
      </c>
      <c r="P172" s="328">
        <f t="shared" si="181"/>
        <v>0</v>
      </c>
      <c r="Q172" s="325">
        <f t="shared" si="182"/>
        <v>0</v>
      </c>
      <c r="R172" s="328">
        <f t="shared" si="183"/>
        <v>0</v>
      </c>
      <c r="S172" s="340">
        <v>1</v>
      </c>
      <c r="T172" s="328">
        <f t="shared" si="184"/>
        <v>0</v>
      </c>
      <c r="V172" s="328">
        <f t="shared" si="185"/>
        <v>3882</v>
      </c>
      <c r="W172" s="328">
        <f t="shared" si="186"/>
        <v>3882</v>
      </c>
      <c r="X172" s="340">
        <v>1</v>
      </c>
      <c r="Y172" s="328">
        <f t="shared" si="187"/>
        <v>3882</v>
      </c>
      <c r="Z172" s="328">
        <f t="shared" si="188"/>
        <v>3882</v>
      </c>
      <c r="AA172" s="328">
        <f t="shared" si="189"/>
        <v>0</v>
      </c>
      <c r="AB172" s="328">
        <f t="shared" si="177"/>
        <v>0</v>
      </c>
      <c r="AC172" s="339">
        <f t="shared" si="190"/>
        <v>110.41666666666667</v>
      </c>
      <c r="AD172" s="325">
        <f t="shared" si="191"/>
        <v>122.75</v>
      </c>
      <c r="AE172" s="339">
        <f t="shared" si="192"/>
        <v>117.41666666666667</v>
      </c>
      <c r="AF172" s="325">
        <f t="shared" si="193"/>
        <v>121.75</v>
      </c>
      <c r="AG172" s="338">
        <f t="shared" si="194"/>
        <v>-8.3333333333333329E-2</v>
      </c>
    </row>
    <row r="173" spans="1:33">
      <c r="A173" s="658"/>
      <c r="B173" s="333" t="s">
        <v>976</v>
      </c>
      <c r="C173" s="333">
        <v>112</v>
      </c>
      <c r="D173" s="333">
        <v>12</v>
      </c>
      <c r="E173" s="342">
        <v>0</v>
      </c>
      <c r="G173" s="351" t="s">
        <v>888</v>
      </c>
      <c r="H173" s="333">
        <v>10</v>
      </c>
      <c r="I173" s="325">
        <f t="shared" si="178"/>
        <v>122</v>
      </c>
      <c r="L173" s="441">
        <v>5427</v>
      </c>
      <c r="N173" s="328">
        <f t="shared" si="179"/>
        <v>5427</v>
      </c>
      <c r="O173" s="328">
        <f t="shared" si="180"/>
        <v>45.225000000000001</v>
      </c>
      <c r="P173" s="328">
        <f t="shared" si="181"/>
        <v>542.70000000000005</v>
      </c>
      <c r="Q173" s="325">
        <f t="shared" si="182"/>
        <v>0</v>
      </c>
      <c r="R173" s="328">
        <f t="shared" si="183"/>
        <v>542.70000000000005</v>
      </c>
      <c r="S173" s="340">
        <v>1</v>
      </c>
      <c r="T173" s="328">
        <f t="shared" si="184"/>
        <v>542.70000000000005</v>
      </c>
      <c r="V173" s="328">
        <f t="shared" si="185"/>
        <v>4793.8499999999976</v>
      </c>
      <c r="W173" s="328">
        <f t="shared" si="186"/>
        <v>4793.8499999999976</v>
      </c>
      <c r="X173" s="340">
        <v>1</v>
      </c>
      <c r="Y173" s="328">
        <f t="shared" si="187"/>
        <v>4793.8499999999976</v>
      </c>
      <c r="Z173" s="328">
        <f t="shared" si="188"/>
        <v>5336.5499999999975</v>
      </c>
      <c r="AA173" s="328">
        <f t="shared" si="189"/>
        <v>361.80000000000246</v>
      </c>
      <c r="AB173" s="328">
        <f t="shared" si="177"/>
        <v>90.450000000002547</v>
      </c>
      <c r="AC173" s="339">
        <f t="shared" si="190"/>
        <v>112.91666666666667</v>
      </c>
      <c r="AD173" s="325">
        <f t="shared" si="191"/>
        <v>122.75</v>
      </c>
      <c r="AE173" s="339">
        <f t="shared" si="192"/>
        <v>122.91666666666667</v>
      </c>
      <c r="AF173" s="325">
        <f t="shared" si="193"/>
        <v>121.75</v>
      </c>
      <c r="AG173" s="338">
        <f t="shared" si="194"/>
        <v>-8.3333333333333329E-2</v>
      </c>
    </row>
    <row r="174" spans="1:33">
      <c r="A174" s="658"/>
      <c r="B174" s="333" t="s">
        <v>973</v>
      </c>
      <c r="C174" s="333">
        <v>112</v>
      </c>
      <c r="D174" s="333">
        <v>12</v>
      </c>
      <c r="E174" s="342">
        <v>0</v>
      </c>
      <c r="G174" s="351" t="s">
        <v>888</v>
      </c>
      <c r="H174" s="333">
        <v>10</v>
      </c>
      <c r="I174" s="325">
        <f t="shared" si="178"/>
        <v>122</v>
      </c>
      <c r="L174" s="441">
        <v>6206</v>
      </c>
      <c r="N174" s="328">
        <f t="shared" si="179"/>
        <v>6206</v>
      </c>
      <c r="O174" s="328">
        <f t="shared" si="180"/>
        <v>51.716666666666669</v>
      </c>
      <c r="P174" s="328">
        <f t="shared" si="181"/>
        <v>620.6</v>
      </c>
      <c r="Q174" s="325">
        <f t="shared" si="182"/>
        <v>0</v>
      </c>
      <c r="R174" s="328">
        <f t="shared" si="183"/>
        <v>620.6</v>
      </c>
      <c r="S174" s="340">
        <v>1</v>
      </c>
      <c r="T174" s="328">
        <f t="shared" si="184"/>
        <v>620.6</v>
      </c>
      <c r="V174" s="328">
        <f t="shared" si="185"/>
        <v>5481.9666666666635</v>
      </c>
      <c r="W174" s="328">
        <f t="shared" si="186"/>
        <v>5481.9666666666635</v>
      </c>
      <c r="X174" s="340">
        <v>1</v>
      </c>
      <c r="Y174" s="328">
        <f t="shared" si="187"/>
        <v>5481.9666666666635</v>
      </c>
      <c r="Z174" s="328">
        <f t="shared" si="188"/>
        <v>6102.5666666666639</v>
      </c>
      <c r="AA174" s="328">
        <f t="shared" si="189"/>
        <v>413.7333333333363</v>
      </c>
      <c r="AB174" s="328">
        <f t="shared" si="177"/>
        <v>103.43333333333612</v>
      </c>
      <c r="AC174" s="339">
        <f t="shared" si="190"/>
        <v>112.91666666666667</v>
      </c>
      <c r="AD174" s="325">
        <f t="shared" si="191"/>
        <v>122.75</v>
      </c>
      <c r="AE174" s="339">
        <f t="shared" si="192"/>
        <v>122.91666666666667</v>
      </c>
      <c r="AF174" s="325">
        <f t="shared" si="193"/>
        <v>121.75</v>
      </c>
      <c r="AG174" s="338">
        <f t="shared" si="194"/>
        <v>-8.3333333333333329E-2</v>
      </c>
    </row>
    <row r="175" spans="1:33">
      <c r="A175" s="658"/>
      <c r="B175" s="333" t="s">
        <v>975</v>
      </c>
      <c r="C175" s="333">
        <v>114</v>
      </c>
      <c r="D175" s="333">
        <v>5</v>
      </c>
      <c r="E175" s="342">
        <v>0</v>
      </c>
      <c r="G175" s="351" t="s">
        <v>888</v>
      </c>
      <c r="H175" s="333">
        <v>10</v>
      </c>
      <c r="I175" s="325">
        <f t="shared" si="178"/>
        <v>124</v>
      </c>
      <c r="L175" s="441">
        <v>3105</v>
      </c>
      <c r="N175" s="328">
        <f t="shared" si="179"/>
        <v>3105</v>
      </c>
      <c r="O175" s="328">
        <f t="shared" si="180"/>
        <v>25.875</v>
      </c>
      <c r="P175" s="328">
        <f t="shared" si="181"/>
        <v>310.5</v>
      </c>
      <c r="Q175" s="325">
        <f t="shared" si="182"/>
        <v>0</v>
      </c>
      <c r="R175" s="328">
        <f t="shared" si="183"/>
        <v>310.5</v>
      </c>
      <c r="S175" s="340">
        <v>1</v>
      </c>
      <c r="T175" s="328">
        <f t="shared" si="184"/>
        <v>310.5</v>
      </c>
      <c r="V175" s="328">
        <f t="shared" si="185"/>
        <v>2302.8750000000014</v>
      </c>
      <c r="W175" s="328">
        <f t="shared" si="186"/>
        <v>2302.8750000000014</v>
      </c>
      <c r="X175" s="340">
        <v>1</v>
      </c>
      <c r="Y175" s="328">
        <f t="shared" si="187"/>
        <v>2302.8750000000014</v>
      </c>
      <c r="Z175" s="328">
        <f t="shared" si="188"/>
        <v>2613.3750000000014</v>
      </c>
      <c r="AA175" s="328">
        <f t="shared" si="189"/>
        <v>646.87499999999864</v>
      </c>
      <c r="AB175" s="328">
        <f t="shared" si="177"/>
        <v>491.62499999999864</v>
      </c>
      <c r="AC175" s="339">
        <f t="shared" si="190"/>
        <v>114.33333333333333</v>
      </c>
      <c r="AD175" s="325">
        <f t="shared" si="191"/>
        <v>122.75</v>
      </c>
      <c r="AE175" s="339">
        <f t="shared" si="192"/>
        <v>124.33333333333333</v>
      </c>
      <c r="AF175" s="325">
        <f t="shared" si="193"/>
        <v>121.75</v>
      </c>
      <c r="AG175" s="338">
        <f t="shared" si="194"/>
        <v>-8.3333333333333329E-2</v>
      </c>
    </row>
    <row r="176" spans="1:33">
      <c r="A176" s="658"/>
      <c r="B176" s="333" t="s">
        <v>974</v>
      </c>
      <c r="C176" s="333">
        <v>115</v>
      </c>
      <c r="D176" s="333">
        <v>5</v>
      </c>
      <c r="E176" s="342">
        <v>0</v>
      </c>
      <c r="G176" s="351" t="s">
        <v>888</v>
      </c>
      <c r="H176" s="333">
        <v>10</v>
      </c>
      <c r="I176" s="325">
        <f t="shared" si="178"/>
        <v>125</v>
      </c>
      <c r="L176" s="441">
        <v>5572</v>
      </c>
      <c r="N176" s="328">
        <f t="shared" si="179"/>
        <v>5572</v>
      </c>
      <c r="O176" s="328">
        <f t="shared" si="180"/>
        <v>46.433333333333337</v>
      </c>
      <c r="P176" s="328">
        <f t="shared" si="181"/>
        <v>557.20000000000005</v>
      </c>
      <c r="Q176" s="325">
        <f t="shared" si="182"/>
        <v>0</v>
      </c>
      <c r="R176" s="328">
        <f t="shared" si="183"/>
        <v>557.20000000000005</v>
      </c>
      <c r="S176" s="340">
        <v>1</v>
      </c>
      <c r="T176" s="328">
        <f t="shared" si="184"/>
        <v>557.20000000000005</v>
      </c>
      <c r="V176" s="328">
        <f t="shared" si="185"/>
        <v>3575.3666666666695</v>
      </c>
      <c r="W176" s="328">
        <f t="shared" si="186"/>
        <v>3575.3666666666695</v>
      </c>
      <c r="X176" s="340">
        <v>1</v>
      </c>
      <c r="Y176" s="328">
        <f t="shared" si="187"/>
        <v>3575.3666666666695</v>
      </c>
      <c r="Z176" s="328">
        <f t="shared" si="188"/>
        <v>4132.5666666666693</v>
      </c>
      <c r="AA176" s="328">
        <f t="shared" si="189"/>
        <v>1718.0333333333306</v>
      </c>
      <c r="AB176" s="328">
        <f t="shared" si="177"/>
        <v>1439.4333333333307</v>
      </c>
      <c r="AC176" s="339">
        <f t="shared" si="190"/>
        <v>115.33333333333333</v>
      </c>
      <c r="AD176" s="325">
        <f t="shared" si="191"/>
        <v>122.75</v>
      </c>
      <c r="AE176" s="339">
        <f t="shared" si="192"/>
        <v>125.33333333333333</v>
      </c>
      <c r="AF176" s="325">
        <f t="shared" si="193"/>
        <v>121.75</v>
      </c>
      <c r="AG176" s="338">
        <f t="shared" si="194"/>
        <v>-8.3333333333333329E-2</v>
      </c>
    </row>
    <row r="177" spans="1:33">
      <c r="A177" s="658"/>
      <c r="B177" s="333" t="s">
        <v>972</v>
      </c>
      <c r="C177" s="333">
        <v>115</v>
      </c>
      <c r="D177" s="333">
        <v>5</v>
      </c>
      <c r="E177" s="342">
        <v>0</v>
      </c>
      <c r="G177" s="351" t="s">
        <v>888</v>
      </c>
      <c r="H177" s="333">
        <v>10</v>
      </c>
      <c r="I177" s="325">
        <f t="shared" si="178"/>
        <v>125</v>
      </c>
      <c r="L177" s="441">
        <v>6744</v>
      </c>
      <c r="N177" s="328">
        <f t="shared" si="179"/>
        <v>6744</v>
      </c>
      <c r="O177" s="328">
        <f t="shared" si="180"/>
        <v>56.199999999999996</v>
      </c>
      <c r="P177" s="328">
        <f t="shared" si="181"/>
        <v>674.4</v>
      </c>
      <c r="Q177" s="325">
        <f t="shared" si="182"/>
        <v>0</v>
      </c>
      <c r="R177" s="328">
        <f t="shared" si="183"/>
        <v>674.4</v>
      </c>
      <c r="S177" s="340">
        <v>1</v>
      </c>
      <c r="T177" s="328">
        <f t="shared" si="184"/>
        <v>674.4</v>
      </c>
      <c r="V177" s="328">
        <f t="shared" si="185"/>
        <v>4327.4000000000033</v>
      </c>
      <c r="W177" s="328">
        <f t="shared" si="186"/>
        <v>4327.4000000000033</v>
      </c>
      <c r="X177" s="340">
        <v>1</v>
      </c>
      <c r="Y177" s="328">
        <f t="shared" si="187"/>
        <v>4327.4000000000033</v>
      </c>
      <c r="Z177" s="328">
        <f t="shared" si="188"/>
        <v>5001.8000000000029</v>
      </c>
      <c r="AA177" s="328">
        <f t="shared" si="189"/>
        <v>2079.3999999999969</v>
      </c>
      <c r="AB177" s="328">
        <f t="shared" si="177"/>
        <v>1742.1999999999971</v>
      </c>
      <c r="AC177" s="339">
        <f t="shared" si="190"/>
        <v>115.33333333333333</v>
      </c>
      <c r="AD177" s="325">
        <f t="shared" si="191"/>
        <v>122.75</v>
      </c>
      <c r="AE177" s="339">
        <f t="shared" si="192"/>
        <v>125.33333333333333</v>
      </c>
      <c r="AF177" s="325">
        <f t="shared" si="193"/>
        <v>121.75</v>
      </c>
      <c r="AG177" s="338">
        <f t="shared" si="194"/>
        <v>-8.3333333333333329E-2</v>
      </c>
    </row>
    <row r="178" spans="1:33">
      <c r="A178" s="658"/>
      <c r="B178" s="333" t="s">
        <v>972</v>
      </c>
      <c r="C178" s="333">
        <v>116</v>
      </c>
      <c r="D178" s="333">
        <v>5</v>
      </c>
      <c r="E178" s="342">
        <v>0</v>
      </c>
      <c r="G178" s="351" t="s">
        <v>888</v>
      </c>
      <c r="H178" s="333">
        <v>10</v>
      </c>
      <c r="I178" s="325">
        <f t="shared" si="178"/>
        <v>126</v>
      </c>
      <c r="L178" s="441">
        <v>6375</v>
      </c>
      <c r="N178" s="328">
        <f t="shared" si="179"/>
        <v>6375</v>
      </c>
      <c r="O178" s="328">
        <f t="shared" si="180"/>
        <v>53.125</v>
      </c>
      <c r="P178" s="328">
        <f t="shared" si="181"/>
        <v>637.5</v>
      </c>
      <c r="Q178" s="325">
        <f t="shared" si="182"/>
        <v>0</v>
      </c>
      <c r="R178" s="328">
        <f t="shared" si="183"/>
        <v>637.5</v>
      </c>
      <c r="S178" s="340">
        <v>1</v>
      </c>
      <c r="T178" s="328">
        <f t="shared" si="184"/>
        <v>637.5</v>
      </c>
      <c r="V178" s="328">
        <f t="shared" si="185"/>
        <v>3453.1250000000032</v>
      </c>
      <c r="W178" s="328">
        <f t="shared" si="186"/>
        <v>3453.1250000000032</v>
      </c>
      <c r="X178" s="340">
        <v>1</v>
      </c>
      <c r="Y178" s="328">
        <f t="shared" si="187"/>
        <v>3453.1250000000032</v>
      </c>
      <c r="Z178" s="328">
        <f t="shared" si="188"/>
        <v>4090.6250000000032</v>
      </c>
      <c r="AA178" s="328">
        <f t="shared" si="189"/>
        <v>2603.1249999999968</v>
      </c>
      <c r="AB178" s="328">
        <f t="shared" si="177"/>
        <v>2284.3749999999968</v>
      </c>
      <c r="AC178" s="339">
        <f t="shared" si="190"/>
        <v>116.33333333333333</v>
      </c>
      <c r="AD178" s="325">
        <f t="shared" si="191"/>
        <v>122.75</v>
      </c>
      <c r="AE178" s="339">
        <f t="shared" si="192"/>
        <v>126.33333333333333</v>
      </c>
      <c r="AF178" s="325">
        <f t="shared" si="193"/>
        <v>121.75</v>
      </c>
      <c r="AG178" s="338">
        <f t="shared" si="194"/>
        <v>-8.3333333333333329E-2</v>
      </c>
    </row>
    <row r="179" spans="1:33">
      <c r="A179" s="658"/>
      <c r="B179" s="333" t="s">
        <v>973</v>
      </c>
      <c r="C179" s="333">
        <v>116</v>
      </c>
      <c r="D179" s="333">
        <v>5</v>
      </c>
      <c r="E179" s="342">
        <v>0</v>
      </c>
      <c r="G179" s="351" t="s">
        <v>888</v>
      </c>
      <c r="H179" s="333">
        <v>10</v>
      </c>
      <c r="I179" s="325">
        <f t="shared" si="178"/>
        <v>126</v>
      </c>
      <c r="L179" s="441">
        <v>8040</v>
      </c>
      <c r="N179" s="328">
        <f t="shared" si="179"/>
        <v>8040</v>
      </c>
      <c r="O179" s="328">
        <f t="shared" si="180"/>
        <v>67</v>
      </c>
      <c r="P179" s="328">
        <f t="shared" si="181"/>
        <v>804</v>
      </c>
      <c r="Q179" s="325">
        <f t="shared" si="182"/>
        <v>0</v>
      </c>
      <c r="R179" s="328">
        <f t="shared" si="183"/>
        <v>804</v>
      </c>
      <c r="S179" s="340">
        <v>1</v>
      </c>
      <c r="T179" s="328">
        <f t="shared" si="184"/>
        <v>804</v>
      </c>
      <c r="V179" s="328">
        <f t="shared" si="185"/>
        <v>4355.0000000000036</v>
      </c>
      <c r="W179" s="328">
        <f t="shared" si="186"/>
        <v>4355.0000000000036</v>
      </c>
      <c r="X179" s="340">
        <v>1</v>
      </c>
      <c r="Y179" s="328">
        <f t="shared" si="187"/>
        <v>4355.0000000000036</v>
      </c>
      <c r="Z179" s="328">
        <f t="shared" si="188"/>
        <v>5159.0000000000036</v>
      </c>
      <c r="AA179" s="328">
        <f t="shared" si="189"/>
        <v>3282.9999999999964</v>
      </c>
      <c r="AB179" s="328">
        <f t="shared" si="177"/>
        <v>2880.9999999999964</v>
      </c>
      <c r="AC179" s="339">
        <f t="shared" si="190"/>
        <v>116.33333333333333</v>
      </c>
      <c r="AD179" s="325">
        <f t="shared" si="191"/>
        <v>122.75</v>
      </c>
      <c r="AE179" s="339">
        <f t="shared" si="192"/>
        <v>126.33333333333333</v>
      </c>
      <c r="AF179" s="325">
        <f t="shared" si="193"/>
        <v>121.75</v>
      </c>
      <c r="AG179" s="338">
        <f t="shared" si="194"/>
        <v>-8.3333333333333329E-2</v>
      </c>
    </row>
    <row r="180" spans="1:33">
      <c r="A180" s="658"/>
      <c r="B180" s="333" t="s">
        <v>973</v>
      </c>
      <c r="C180" s="333">
        <v>116</v>
      </c>
      <c r="D180" s="333">
        <v>6</v>
      </c>
      <c r="E180" s="342">
        <v>0</v>
      </c>
      <c r="G180" s="351" t="s">
        <v>888</v>
      </c>
      <c r="H180" s="333">
        <v>10</v>
      </c>
      <c r="I180" s="325">
        <f t="shared" si="178"/>
        <v>126</v>
      </c>
      <c r="L180" s="441">
        <v>7245</v>
      </c>
      <c r="N180" s="328">
        <f t="shared" si="179"/>
        <v>7245</v>
      </c>
      <c r="O180" s="328">
        <f t="shared" si="180"/>
        <v>60.375</v>
      </c>
      <c r="P180" s="328">
        <f t="shared" si="181"/>
        <v>724.5</v>
      </c>
      <c r="Q180" s="325">
        <f t="shared" si="182"/>
        <v>0</v>
      </c>
      <c r="R180" s="328">
        <f t="shared" si="183"/>
        <v>724.5</v>
      </c>
      <c r="S180" s="340">
        <v>1</v>
      </c>
      <c r="T180" s="328">
        <f t="shared" si="184"/>
        <v>724.5</v>
      </c>
      <c r="V180" s="328">
        <f t="shared" si="185"/>
        <v>3863.9999999999964</v>
      </c>
      <c r="W180" s="328">
        <f t="shared" si="186"/>
        <v>3863.9999999999964</v>
      </c>
      <c r="X180" s="340">
        <v>1</v>
      </c>
      <c r="Y180" s="328">
        <f t="shared" si="187"/>
        <v>3863.9999999999964</v>
      </c>
      <c r="Z180" s="328">
        <f t="shared" si="188"/>
        <v>4588.4999999999964</v>
      </c>
      <c r="AA180" s="328">
        <f t="shared" si="189"/>
        <v>3018.7500000000036</v>
      </c>
      <c r="AB180" s="328">
        <f t="shared" si="177"/>
        <v>2656.5000000000036</v>
      </c>
      <c r="AC180" s="339">
        <f t="shared" si="190"/>
        <v>116.41666666666667</v>
      </c>
      <c r="AD180" s="325">
        <f t="shared" si="191"/>
        <v>122.75</v>
      </c>
      <c r="AE180" s="339">
        <f t="shared" si="192"/>
        <v>126.41666666666667</v>
      </c>
      <c r="AF180" s="325">
        <f t="shared" si="193"/>
        <v>121.75</v>
      </c>
      <c r="AG180" s="338">
        <f t="shared" si="194"/>
        <v>-8.3333333333333329E-2</v>
      </c>
    </row>
    <row r="181" spans="1:33">
      <c r="A181" s="658"/>
      <c r="B181" s="333" t="s">
        <v>972</v>
      </c>
      <c r="C181" s="333">
        <v>117</v>
      </c>
      <c r="D181" s="333">
        <v>5</v>
      </c>
      <c r="E181" s="342">
        <v>0</v>
      </c>
      <c r="G181" s="351" t="s">
        <v>888</v>
      </c>
      <c r="H181" s="333">
        <v>10</v>
      </c>
      <c r="I181" s="325">
        <f t="shared" si="178"/>
        <v>127</v>
      </c>
      <c r="L181" s="441">
        <v>8687</v>
      </c>
      <c r="N181" s="328">
        <f t="shared" si="179"/>
        <v>8687</v>
      </c>
      <c r="O181" s="328">
        <f t="shared" si="180"/>
        <v>72.391666666666666</v>
      </c>
      <c r="P181" s="328">
        <f t="shared" si="181"/>
        <v>868.7</v>
      </c>
      <c r="Q181" s="325">
        <f t="shared" si="182"/>
        <v>0</v>
      </c>
      <c r="R181" s="328">
        <f t="shared" si="183"/>
        <v>868.7</v>
      </c>
      <c r="S181" s="340">
        <v>1</v>
      </c>
      <c r="T181" s="328">
        <f t="shared" si="184"/>
        <v>868.7</v>
      </c>
      <c r="V181" s="328">
        <f t="shared" si="185"/>
        <v>3836.7583333333373</v>
      </c>
      <c r="W181" s="328">
        <f t="shared" si="186"/>
        <v>3836.7583333333373</v>
      </c>
      <c r="X181" s="340">
        <v>1</v>
      </c>
      <c r="Y181" s="328">
        <f t="shared" si="187"/>
        <v>3836.7583333333373</v>
      </c>
      <c r="Z181" s="328">
        <f t="shared" si="188"/>
        <v>4705.4583333333376</v>
      </c>
      <c r="AA181" s="328">
        <f t="shared" si="189"/>
        <v>4415.8916666666628</v>
      </c>
      <c r="AB181" s="328">
        <f t="shared" si="177"/>
        <v>3981.5416666666624</v>
      </c>
      <c r="AC181" s="339">
        <f t="shared" si="190"/>
        <v>117.33333333333333</v>
      </c>
      <c r="AD181" s="325">
        <f t="shared" si="191"/>
        <v>122.75</v>
      </c>
      <c r="AE181" s="339">
        <f t="shared" si="192"/>
        <v>127.33333333333333</v>
      </c>
      <c r="AF181" s="325">
        <f t="shared" si="193"/>
        <v>121.75</v>
      </c>
      <c r="AG181" s="338">
        <f t="shared" si="194"/>
        <v>-8.3333333333333329E-2</v>
      </c>
    </row>
    <row r="182" spans="1:33">
      <c r="A182" s="658"/>
      <c r="B182" s="333" t="s">
        <v>972</v>
      </c>
      <c r="C182" s="333">
        <v>118</v>
      </c>
      <c r="D182" s="333">
        <v>5</v>
      </c>
      <c r="E182" s="342">
        <v>0</v>
      </c>
      <c r="G182" s="351" t="s">
        <v>888</v>
      </c>
      <c r="H182" s="333">
        <v>10</v>
      </c>
      <c r="I182" s="325">
        <f t="shared" ref="I182:I196" si="195">C182+H182</f>
        <v>128</v>
      </c>
      <c r="L182" s="441">
        <v>7290</v>
      </c>
      <c r="N182" s="328">
        <f t="shared" ref="N182:N196" si="196">L182-L182*E182</f>
        <v>7290</v>
      </c>
      <c r="O182" s="328">
        <f t="shared" ref="O182:O196" si="197">N182/H182/12</f>
        <v>60.75</v>
      </c>
      <c r="P182" s="328">
        <f t="shared" si="181"/>
        <v>729</v>
      </c>
      <c r="Q182" s="325">
        <f t="shared" ref="Q182:Q196" si="198">IF(M182=0,0,IF(AND(AG182&gt;=AF182,AG182&lt;=AE182),((AG182-AF182)*12)*O182,0))</f>
        <v>0</v>
      </c>
      <c r="R182" s="328">
        <f t="shared" ref="R182:R196" si="199">IF(Q182&gt;0,Q182,P182)</f>
        <v>729</v>
      </c>
      <c r="S182" s="340">
        <v>1</v>
      </c>
      <c r="T182" s="328">
        <f t="shared" ref="T182:T196" si="200">S182*SUM(P182:Q182)</f>
        <v>729</v>
      </c>
      <c r="V182" s="328">
        <f t="shared" ref="V182:V196" si="201">IF(AC182&gt;AD182,0,IF(AE182&lt;AF182,N182,IF(AND(AE182&gt;=AF182,AE182&lt;=AD182),(N182-R182),IF(AND(AF182&lt;=AC182,AD182&gt;=AC182),0,IF(AE182&gt;AD182,((AF182-AC182)*12)*O182,0)))))</f>
        <v>2490.7500000000036</v>
      </c>
      <c r="W182" s="328">
        <f t="shared" ref="W182:W196" si="202">V182*S182</f>
        <v>2490.7500000000036</v>
      </c>
      <c r="X182" s="340">
        <v>1</v>
      </c>
      <c r="Y182" s="328">
        <f t="shared" ref="Y182:Y196" si="203">W182*X182</f>
        <v>2490.7500000000036</v>
      </c>
      <c r="Z182" s="328">
        <f t="shared" ref="Z182:Z196" si="204">IF(M182&gt;0,0,Y182+T182*X182)*X182</f>
        <v>3219.7500000000036</v>
      </c>
      <c r="AA182" s="328">
        <f t="shared" ref="AA182:AA196" si="205">IF(M182&gt;0,(L182-Y182)/2,IF(AC182&gt;=AF182,(((L182*S182)*X182)-Z182)/2,((((L182*S182)*X182)-Y182)+(((L182*S182)*X182)-Z182))/2))</f>
        <v>4434.7499999999964</v>
      </c>
      <c r="AB182" s="328">
        <f t="shared" ref="AB182:AB196" si="206">L182-Z182</f>
        <v>4070.2499999999964</v>
      </c>
      <c r="AC182" s="339">
        <f t="shared" si="190"/>
        <v>118.33333333333333</v>
      </c>
      <c r="AD182" s="325">
        <f t="shared" si="191"/>
        <v>122.75</v>
      </c>
      <c r="AE182" s="339">
        <f t="shared" si="192"/>
        <v>128.33333333333334</v>
      </c>
      <c r="AF182" s="325">
        <f t="shared" si="193"/>
        <v>121.75</v>
      </c>
      <c r="AG182" s="338">
        <f t="shared" si="194"/>
        <v>-8.3333333333333329E-2</v>
      </c>
    </row>
    <row r="183" spans="1:33">
      <c r="A183" s="658"/>
      <c r="B183" s="333" t="s">
        <v>976</v>
      </c>
      <c r="C183" s="333">
        <v>119</v>
      </c>
      <c r="D183" s="333">
        <v>4</v>
      </c>
      <c r="E183" s="342">
        <v>0</v>
      </c>
      <c r="G183" s="351" t="s">
        <v>888</v>
      </c>
      <c r="H183" s="333">
        <v>10</v>
      </c>
      <c r="I183" s="325">
        <f t="shared" si="195"/>
        <v>129</v>
      </c>
      <c r="L183" s="440">
        <v>7156</v>
      </c>
      <c r="N183" s="328">
        <f t="shared" si="196"/>
        <v>7156</v>
      </c>
      <c r="O183" s="328">
        <f t="shared" si="197"/>
        <v>59.633333333333333</v>
      </c>
      <c r="P183" s="328">
        <f t="shared" si="181"/>
        <v>715.6</v>
      </c>
      <c r="Q183" s="325">
        <f t="shared" si="198"/>
        <v>0</v>
      </c>
      <c r="R183" s="328">
        <f t="shared" si="199"/>
        <v>715.6</v>
      </c>
      <c r="S183" s="340">
        <v>1</v>
      </c>
      <c r="T183" s="328">
        <f t="shared" si="200"/>
        <v>715.6</v>
      </c>
      <c r="V183" s="328">
        <f t="shared" si="201"/>
        <v>1789</v>
      </c>
      <c r="W183" s="328">
        <f t="shared" si="202"/>
        <v>1789</v>
      </c>
      <c r="X183" s="340">
        <v>1</v>
      </c>
      <c r="Y183" s="328">
        <f t="shared" si="203"/>
        <v>1789</v>
      </c>
      <c r="Z183" s="328">
        <f t="shared" si="204"/>
        <v>2504.6</v>
      </c>
      <c r="AA183" s="328">
        <f t="shared" si="205"/>
        <v>5009.2</v>
      </c>
      <c r="AB183" s="328">
        <f t="shared" si="206"/>
        <v>4651.3999999999996</v>
      </c>
      <c r="AC183" s="339">
        <f t="shared" si="190"/>
        <v>119.25</v>
      </c>
      <c r="AD183" s="325">
        <f t="shared" si="191"/>
        <v>122.75</v>
      </c>
      <c r="AE183" s="339">
        <f t="shared" si="192"/>
        <v>129.25</v>
      </c>
      <c r="AF183" s="325">
        <f t="shared" si="193"/>
        <v>121.75</v>
      </c>
      <c r="AG183" s="338">
        <f t="shared" si="194"/>
        <v>-8.3333333333333329E-2</v>
      </c>
    </row>
    <row r="184" spans="1:33">
      <c r="A184" s="658"/>
      <c r="B184" s="333" t="s">
        <v>972</v>
      </c>
      <c r="C184" s="333">
        <v>119</v>
      </c>
      <c r="D184" s="333">
        <v>4</v>
      </c>
      <c r="E184" s="342">
        <v>0</v>
      </c>
      <c r="G184" s="351" t="s">
        <v>888</v>
      </c>
      <c r="H184" s="333">
        <v>10</v>
      </c>
      <c r="I184" s="325">
        <f t="shared" si="195"/>
        <v>129</v>
      </c>
      <c r="L184" s="440">
        <v>8319</v>
      </c>
      <c r="N184" s="328">
        <f t="shared" si="196"/>
        <v>8319</v>
      </c>
      <c r="O184" s="328">
        <f t="shared" si="197"/>
        <v>69.325000000000003</v>
      </c>
      <c r="P184" s="328">
        <f t="shared" si="181"/>
        <v>831.90000000000009</v>
      </c>
      <c r="Q184" s="325">
        <f t="shared" si="198"/>
        <v>0</v>
      </c>
      <c r="R184" s="328">
        <f t="shared" si="199"/>
        <v>831.90000000000009</v>
      </c>
      <c r="S184" s="340">
        <v>1</v>
      </c>
      <c r="T184" s="328">
        <f t="shared" si="200"/>
        <v>831.90000000000009</v>
      </c>
      <c r="V184" s="328">
        <f t="shared" si="201"/>
        <v>2079.75</v>
      </c>
      <c r="W184" s="328">
        <f t="shared" si="202"/>
        <v>2079.75</v>
      </c>
      <c r="X184" s="340">
        <v>1</v>
      </c>
      <c r="Y184" s="328">
        <f t="shared" si="203"/>
        <v>2079.75</v>
      </c>
      <c r="Z184" s="328">
        <f t="shared" si="204"/>
        <v>2911.65</v>
      </c>
      <c r="AA184" s="328">
        <f t="shared" si="205"/>
        <v>5823.3</v>
      </c>
      <c r="AB184" s="328">
        <f t="shared" si="206"/>
        <v>5407.35</v>
      </c>
      <c r="AC184" s="339">
        <f t="shared" si="190"/>
        <v>119.25</v>
      </c>
      <c r="AD184" s="325">
        <f t="shared" si="191"/>
        <v>122.75</v>
      </c>
      <c r="AE184" s="339">
        <f t="shared" si="192"/>
        <v>129.25</v>
      </c>
      <c r="AF184" s="325">
        <f t="shared" si="193"/>
        <v>121.75</v>
      </c>
      <c r="AG184" s="338">
        <f t="shared" si="194"/>
        <v>-8.3333333333333329E-2</v>
      </c>
    </row>
    <row r="185" spans="1:33">
      <c r="A185" s="658"/>
      <c r="B185" s="333" t="s">
        <v>1293</v>
      </c>
      <c r="C185" s="333">
        <v>119</v>
      </c>
      <c r="D185" s="333">
        <v>4</v>
      </c>
      <c r="E185" s="342">
        <v>0</v>
      </c>
      <c r="G185" s="351" t="s">
        <v>888</v>
      </c>
      <c r="H185" s="333">
        <v>10</v>
      </c>
      <c r="I185" s="325">
        <f t="shared" si="195"/>
        <v>129</v>
      </c>
      <c r="L185" s="440">
        <v>3265</v>
      </c>
      <c r="N185" s="328">
        <f t="shared" si="196"/>
        <v>3265</v>
      </c>
      <c r="O185" s="328">
        <f t="shared" si="197"/>
        <v>27.208333333333332</v>
      </c>
      <c r="P185" s="328">
        <f t="shared" si="181"/>
        <v>326.5</v>
      </c>
      <c r="Q185" s="325">
        <f t="shared" si="198"/>
        <v>0</v>
      </c>
      <c r="R185" s="328">
        <f t="shared" si="199"/>
        <v>326.5</v>
      </c>
      <c r="S185" s="340">
        <v>1</v>
      </c>
      <c r="T185" s="328">
        <f t="shared" si="200"/>
        <v>326.5</v>
      </c>
      <c r="V185" s="328">
        <f t="shared" si="201"/>
        <v>816.25</v>
      </c>
      <c r="W185" s="328">
        <f t="shared" si="202"/>
        <v>816.25</v>
      </c>
      <c r="X185" s="340">
        <v>1</v>
      </c>
      <c r="Y185" s="328">
        <f t="shared" si="203"/>
        <v>816.25</v>
      </c>
      <c r="Z185" s="328">
        <f t="shared" si="204"/>
        <v>1142.75</v>
      </c>
      <c r="AA185" s="328">
        <f t="shared" si="205"/>
        <v>2285.5</v>
      </c>
      <c r="AB185" s="328">
        <f t="shared" si="206"/>
        <v>2122.25</v>
      </c>
      <c r="AC185" s="339">
        <f t="shared" si="190"/>
        <v>119.25</v>
      </c>
      <c r="AD185" s="325">
        <f t="shared" si="191"/>
        <v>122.75</v>
      </c>
      <c r="AE185" s="339">
        <f t="shared" si="192"/>
        <v>129.25</v>
      </c>
      <c r="AF185" s="325">
        <f t="shared" si="193"/>
        <v>121.75</v>
      </c>
      <c r="AG185" s="338">
        <f t="shared" si="194"/>
        <v>-8.3333333333333329E-2</v>
      </c>
    </row>
    <row r="186" spans="1:33">
      <c r="A186" s="658"/>
      <c r="B186" s="333" t="s">
        <v>1294</v>
      </c>
      <c r="C186" s="333">
        <v>119</v>
      </c>
      <c r="D186" s="333">
        <v>4</v>
      </c>
      <c r="E186" s="342">
        <v>0</v>
      </c>
      <c r="G186" s="351" t="s">
        <v>888</v>
      </c>
      <c r="H186" s="333">
        <v>10</v>
      </c>
      <c r="I186" s="325">
        <f t="shared" si="195"/>
        <v>129</v>
      </c>
      <c r="L186" s="440">
        <v>15955</v>
      </c>
      <c r="N186" s="328">
        <f t="shared" si="196"/>
        <v>15955</v>
      </c>
      <c r="O186" s="328">
        <f t="shared" si="197"/>
        <v>132.95833333333334</v>
      </c>
      <c r="P186" s="328">
        <f t="shared" ref="P186:P196" si="207">IF(M186&gt;0,0,IF(OR(AC186&gt;AD186,AE186&lt;AF186),0,IF(AND(AE186&gt;=AF186,AE186&lt;=AD186),O186*((AE186-AF186)*12),IF(AND(AF186&lt;=AC186,AD186&gt;=AC186),((AD186-AC186)*12)*O186,IF(AE186&gt;AD186,12*O186,0)))))</f>
        <v>1595.5</v>
      </c>
      <c r="Q186" s="325">
        <f t="shared" si="198"/>
        <v>0</v>
      </c>
      <c r="R186" s="328">
        <f t="shared" si="199"/>
        <v>1595.5</v>
      </c>
      <c r="S186" s="340">
        <v>1</v>
      </c>
      <c r="T186" s="328">
        <f t="shared" si="200"/>
        <v>1595.5</v>
      </c>
      <c r="V186" s="328">
        <f t="shared" si="201"/>
        <v>3988.7500000000005</v>
      </c>
      <c r="W186" s="328">
        <f t="shared" si="202"/>
        <v>3988.7500000000005</v>
      </c>
      <c r="X186" s="340">
        <v>1</v>
      </c>
      <c r="Y186" s="328">
        <f t="shared" si="203"/>
        <v>3988.7500000000005</v>
      </c>
      <c r="Z186" s="328">
        <f t="shared" si="204"/>
        <v>5584.25</v>
      </c>
      <c r="AA186" s="328">
        <f t="shared" si="205"/>
        <v>11168.5</v>
      </c>
      <c r="AB186" s="328">
        <f t="shared" si="206"/>
        <v>10370.75</v>
      </c>
      <c r="AC186" s="339">
        <f t="shared" si="190"/>
        <v>119.25</v>
      </c>
      <c r="AD186" s="325">
        <f t="shared" si="191"/>
        <v>122.75</v>
      </c>
      <c r="AE186" s="339">
        <f t="shared" si="192"/>
        <v>129.25</v>
      </c>
      <c r="AF186" s="325">
        <f t="shared" si="193"/>
        <v>121.75</v>
      </c>
      <c r="AG186" s="338">
        <f t="shared" si="194"/>
        <v>-8.3333333333333329E-2</v>
      </c>
    </row>
    <row r="187" spans="1:33">
      <c r="A187" s="658"/>
      <c r="B187" s="333" t="s">
        <v>1309</v>
      </c>
      <c r="C187" s="333">
        <v>119</v>
      </c>
      <c r="D187" s="333">
        <v>6</v>
      </c>
      <c r="E187" s="342">
        <v>0</v>
      </c>
      <c r="G187" s="351" t="s">
        <v>888</v>
      </c>
      <c r="H187" s="333">
        <v>10</v>
      </c>
      <c r="I187" s="325">
        <f t="shared" si="195"/>
        <v>129</v>
      </c>
      <c r="L187" s="440">
        <v>10579</v>
      </c>
      <c r="N187" s="328">
        <f t="shared" si="196"/>
        <v>10579</v>
      </c>
      <c r="O187" s="328">
        <f t="shared" si="197"/>
        <v>88.158333333333346</v>
      </c>
      <c r="P187" s="328">
        <f t="shared" si="207"/>
        <v>1057.9000000000001</v>
      </c>
      <c r="Q187" s="325">
        <f t="shared" si="198"/>
        <v>0</v>
      </c>
      <c r="R187" s="328">
        <f t="shared" si="199"/>
        <v>1057.9000000000001</v>
      </c>
      <c r="S187" s="340">
        <v>1</v>
      </c>
      <c r="T187" s="328">
        <f t="shared" si="200"/>
        <v>1057.9000000000001</v>
      </c>
      <c r="V187" s="328">
        <f t="shared" si="201"/>
        <v>2468.4333333333288</v>
      </c>
      <c r="W187" s="328">
        <f t="shared" si="202"/>
        <v>2468.4333333333288</v>
      </c>
      <c r="X187" s="340">
        <v>1</v>
      </c>
      <c r="Y187" s="328">
        <f t="shared" si="203"/>
        <v>2468.4333333333288</v>
      </c>
      <c r="Z187" s="328">
        <f t="shared" si="204"/>
        <v>3526.3333333333289</v>
      </c>
      <c r="AA187" s="328">
        <f t="shared" si="205"/>
        <v>7581.6166666666713</v>
      </c>
      <c r="AB187" s="328">
        <f t="shared" si="206"/>
        <v>7052.6666666666715</v>
      </c>
      <c r="AC187" s="339">
        <f t="shared" si="190"/>
        <v>119.41666666666667</v>
      </c>
      <c r="AD187" s="325">
        <f t="shared" si="191"/>
        <v>122.75</v>
      </c>
      <c r="AE187" s="339">
        <f t="shared" si="192"/>
        <v>129.41666666666666</v>
      </c>
      <c r="AF187" s="325">
        <f t="shared" si="193"/>
        <v>121.75</v>
      </c>
      <c r="AG187" s="338">
        <f t="shared" si="194"/>
        <v>-8.3333333333333329E-2</v>
      </c>
    </row>
    <row r="188" spans="1:33">
      <c r="A188" s="658"/>
      <c r="B188" s="333" t="s">
        <v>1332</v>
      </c>
      <c r="C188" s="333">
        <v>120</v>
      </c>
      <c r="D188" s="333">
        <v>4</v>
      </c>
      <c r="E188" s="342">
        <v>0</v>
      </c>
      <c r="G188" s="351" t="s">
        <v>888</v>
      </c>
      <c r="H188" s="333">
        <v>10</v>
      </c>
      <c r="I188" s="325">
        <f t="shared" si="195"/>
        <v>130</v>
      </c>
      <c r="L188" s="646">
        <v>9645</v>
      </c>
      <c r="N188" s="328">
        <f t="shared" si="196"/>
        <v>9645</v>
      </c>
      <c r="O188" s="328">
        <f t="shared" si="197"/>
        <v>80.375</v>
      </c>
      <c r="P188" s="328">
        <f t="shared" si="207"/>
        <v>964.5</v>
      </c>
      <c r="Q188" s="325">
        <f t="shared" si="198"/>
        <v>0</v>
      </c>
      <c r="R188" s="328">
        <f t="shared" si="199"/>
        <v>964.5</v>
      </c>
      <c r="S188" s="340">
        <v>1</v>
      </c>
      <c r="T188" s="328">
        <f t="shared" si="200"/>
        <v>964.5</v>
      </c>
      <c r="V188" s="328">
        <f t="shared" si="201"/>
        <v>1446.75</v>
      </c>
      <c r="W188" s="328">
        <f t="shared" si="202"/>
        <v>1446.75</v>
      </c>
      <c r="X188" s="340">
        <v>1</v>
      </c>
      <c r="Y188" s="328">
        <f t="shared" si="203"/>
        <v>1446.75</v>
      </c>
      <c r="Z188" s="328">
        <f t="shared" si="204"/>
        <v>2411.25</v>
      </c>
      <c r="AA188" s="328">
        <f t="shared" si="205"/>
        <v>7716</v>
      </c>
      <c r="AB188" s="328">
        <f t="shared" si="206"/>
        <v>7233.75</v>
      </c>
      <c r="AC188" s="339">
        <f t="shared" si="190"/>
        <v>120.25</v>
      </c>
      <c r="AD188" s="325">
        <f t="shared" si="191"/>
        <v>122.75</v>
      </c>
      <c r="AE188" s="339">
        <f t="shared" si="192"/>
        <v>130.25</v>
      </c>
      <c r="AF188" s="325">
        <f t="shared" si="193"/>
        <v>121.75</v>
      </c>
      <c r="AG188" s="338">
        <f t="shared" si="194"/>
        <v>-8.3333333333333329E-2</v>
      </c>
    </row>
    <row r="189" spans="1:33">
      <c r="A189" s="658"/>
      <c r="B189" s="333" t="s">
        <v>984</v>
      </c>
      <c r="C189" s="333">
        <v>120</v>
      </c>
      <c r="D189" s="333">
        <v>4</v>
      </c>
      <c r="E189" s="342">
        <v>0</v>
      </c>
      <c r="G189" s="351" t="s">
        <v>888</v>
      </c>
      <c r="H189" s="333">
        <v>10</v>
      </c>
      <c r="I189" s="325">
        <f t="shared" si="195"/>
        <v>130</v>
      </c>
      <c r="L189" s="646">
        <v>2735</v>
      </c>
      <c r="N189" s="328">
        <f t="shared" si="196"/>
        <v>2735</v>
      </c>
      <c r="O189" s="328">
        <f t="shared" si="197"/>
        <v>22.791666666666668</v>
      </c>
      <c r="P189" s="328">
        <f t="shared" si="207"/>
        <v>273.5</v>
      </c>
      <c r="Q189" s="325">
        <f t="shared" si="198"/>
        <v>0</v>
      </c>
      <c r="R189" s="328">
        <f t="shared" si="199"/>
        <v>273.5</v>
      </c>
      <c r="S189" s="340">
        <v>1</v>
      </c>
      <c r="T189" s="328">
        <f t="shared" si="200"/>
        <v>273.5</v>
      </c>
      <c r="V189" s="328">
        <f t="shared" si="201"/>
        <v>410.25</v>
      </c>
      <c r="W189" s="328">
        <f t="shared" si="202"/>
        <v>410.25</v>
      </c>
      <c r="X189" s="340">
        <v>1</v>
      </c>
      <c r="Y189" s="328">
        <f t="shared" si="203"/>
        <v>410.25</v>
      </c>
      <c r="Z189" s="328">
        <f t="shared" si="204"/>
        <v>683.75</v>
      </c>
      <c r="AA189" s="328">
        <f t="shared" si="205"/>
        <v>2188</v>
      </c>
      <c r="AB189" s="328">
        <f t="shared" si="206"/>
        <v>2051.25</v>
      </c>
      <c r="AC189" s="339">
        <f t="shared" si="190"/>
        <v>120.25</v>
      </c>
      <c r="AD189" s="325">
        <f t="shared" si="191"/>
        <v>122.75</v>
      </c>
      <c r="AE189" s="339">
        <f t="shared" si="192"/>
        <v>130.25</v>
      </c>
      <c r="AF189" s="325">
        <f t="shared" si="193"/>
        <v>121.75</v>
      </c>
      <c r="AG189" s="338">
        <f t="shared" si="194"/>
        <v>-8.3333333333333329E-2</v>
      </c>
    </row>
    <row r="190" spans="1:33">
      <c r="A190" s="658"/>
      <c r="B190" s="333" t="s">
        <v>1309</v>
      </c>
      <c r="C190" s="333">
        <v>120</v>
      </c>
      <c r="D190" s="333">
        <v>6</v>
      </c>
      <c r="E190" s="342">
        <v>0</v>
      </c>
      <c r="G190" s="351" t="s">
        <v>888</v>
      </c>
      <c r="H190" s="333">
        <v>10</v>
      </c>
      <c r="I190" s="325">
        <f t="shared" si="195"/>
        <v>130</v>
      </c>
      <c r="L190" s="646">
        <v>9348</v>
      </c>
      <c r="N190" s="328">
        <f t="shared" si="196"/>
        <v>9348</v>
      </c>
      <c r="O190" s="328">
        <f t="shared" si="197"/>
        <v>77.899999999999991</v>
      </c>
      <c r="P190" s="328">
        <f t="shared" si="207"/>
        <v>934.8</v>
      </c>
      <c r="Q190" s="325">
        <f t="shared" si="198"/>
        <v>0</v>
      </c>
      <c r="R190" s="328">
        <f t="shared" si="199"/>
        <v>934.8</v>
      </c>
      <c r="S190" s="340">
        <v>1</v>
      </c>
      <c r="T190" s="328">
        <f t="shared" si="200"/>
        <v>934.8</v>
      </c>
      <c r="V190" s="328">
        <f t="shared" si="201"/>
        <v>1246.3999999999955</v>
      </c>
      <c r="W190" s="328">
        <f t="shared" si="202"/>
        <v>1246.3999999999955</v>
      </c>
      <c r="X190" s="340">
        <v>1</v>
      </c>
      <c r="Y190" s="328">
        <f t="shared" si="203"/>
        <v>1246.3999999999955</v>
      </c>
      <c r="Z190" s="328">
        <f t="shared" si="204"/>
        <v>2181.1999999999953</v>
      </c>
      <c r="AA190" s="328">
        <f t="shared" si="205"/>
        <v>7634.2000000000044</v>
      </c>
      <c r="AB190" s="328">
        <f t="shared" si="206"/>
        <v>7166.8000000000047</v>
      </c>
      <c r="AC190" s="339">
        <f t="shared" si="190"/>
        <v>120.41666666666667</v>
      </c>
      <c r="AD190" s="325">
        <f t="shared" si="191"/>
        <v>122.75</v>
      </c>
      <c r="AE190" s="339">
        <f t="shared" si="192"/>
        <v>130.41666666666666</v>
      </c>
      <c r="AF190" s="325">
        <f t="shared" si="193"/>
        <v>121.75</v>
      </c>
      <c r="AG190" s="338">
        <f t="shared" si="194"/>
        <v>-8.3333333333333329E-2</v>
      </c>
    </row>
    <row r="191" spans="1:33">
      <c r="A191" s="658"/>
      <c r="B191" s="333" t="s">
        <v>1386</v>
      </c>
      <c r="C191" s="333">
        <v>121</v>
      </c>
      <c r="D191" s="333">
        <v>4</v>
      </c>
      <c r="E191" s="342">
        <v>0</v>
      </c>
      <c r="G191" s="351" t="s">
        <v>888</v>
      </c>
      <c r="H191" s="333">
        <v>10</v>
      </c>
      <c r="I191" s="325">
        <f t="shared" si="195"/>
        <v>131</v>
      </c>
      <c r="L191" s="646">
        <v>7836</v>
      </c>
      <c r="N191" s="328">
        <f t="shared" si="196"/>
        <v>7836</v>
      </c>
      <c r="O191" s="328">
        <f t="shared" si="197"/>
        <v>65.3</v>
      </c>
      <c r="P191" s="328">
        <f t="shared" si="207"/>
        <v>783.59999999999991</v>
      </c>
      <c r="Q191" s="325">
        <f t="shared" si="198"/>
        <v>0</v>
      </c>
      <c r="R191" s="328">
        <f t="shared" si="199"/>
        <v>783.59999999999991</v>
      </c>
      <c r="S191" s="340">
        <v>1</v>
      </c>
      <c r="T191" s="328">
        <f t="shared" si="200"/>
        <v>783.59999999999991</v>
      </c>
      <c r="V191" s="328">
        <f t="shared" si="201"/>
        <v>391.79999999999995</v>
      </c>
      <c r="W191" s="328">
        <f t="shared" si="202"/>
        <v>391.79999999999995</v>
      </c>
      <c r="X191" s="340">
        <v>1</v>
      </c>
      <c r="Y191" s="328">
        <f t="shared" si="203"/>
        <v>391.79999999999995</v>
      </c>
      <c r="Z191" s="328">
        <f t="shared" si="204"/>
        <v>1175.3999999999999</v>
      </c>
      <c r="AA191" s="328">
        <f t="shared" si="205"/>
        <v>7052.4</v>
      </c>
      <c r="AB191" s="328">
        <f t="shared" si="206"/>
        <v>6660.6</v>
      </c>
      <c r="AC191" s="339">
        <f t="shared" si="190"/>
        <v>121.25</v>
      </c>
      <c r="AD191" s="325">
        <f t="shared" si="191"/>
        <v>122.75</v>
      </c>
      <c r="AE191" s="339">
        <f t="shared" si="192"/>
        <v>131.25</v>
      </c>
      <c r="AF191" s="325">
        <f t="shared" si="193"/>
        <v>121.75</v>
      </c>
      <c r="AG191" s="338">
        <f t="shared" si="194"/>
        <v>-8.3333333333333329E-2</v>
      </c>
    </row>
    <row r="192" spans="1:33">
      <c r="A192" s="658"/>
      <c r="B192" s="333" t="s">
        <v>1332</v>
      </c>
      <c r="C192" s="333">
        <v>121</v>
      </c>
      <c r="D192" s="333">
        <v>5</v>
      </c>
      <c r="E192" s="342">
        <v>0</v>
      </c>
      <c r="G192" s="351" t="s">
        <v>888</v>
      </c>
      <c r="H192" s="333">
        <v>10</v>
      </c>
      <c r="I192" s="325">
        <f t="shared" si="195"/>
        <v>131</v>
      </c>
      <c r="L192" s="646">
        <v>12544</v>
      </c>
      <c r="N192" s="328">
        <f t="shared" si="196"/>
        <v>12544</v>
      </c>
      <c r="O192" s="328">
        <f t="shared" si="197"/>
        <v>104.53333333333335</v>
      </c>
      <c r="P192" s="328">
        <f t="shared" si="207"/>
        <v>1254.4000000000001</v>
      </c>
      <c r="Q192" s="325">
        <f t="shared" si="198"/>
        <v>0</v>
      </c>
      <c r="R192" s="328">
        <f t="shared" si="199"/>
        <v>1254.4000000000001</v>
      </c>
      <c r="S192" s="340">
        <v>1</v>
      </c>
      <c r="T192" s="328">
        <f t="shared" si="200"/>
        <v>1254.4000000000001</v>
      </c>
      <c r="V192" s="328">
        <f t="shared" si="201"/>
        <v>522.66666666667265</v>
      </c>
      <c r="W192" s="328">
        <f t="shared" si="202"/>
        <v>522.66666666667265</v>
      </c>
      <c r="X192" s="340">
        <v>1</v>
      </c>
      <c r="Y192" s="328">
        <f t="shared" si="203"/>
        <v>522.66666666667265</v>
      </c>
      <c r="Z192" s="328">
        <f t="shared" si="204"/>
        <v>1777.0666666666727</v>
      </c>
      <c r="AA192" s="328">
        <f t="shared" si="205"/>
        <v>11394.133333333328</v>
      </c>
      <c r="AB192" s="328">
        <f t="shared" si="206"/>
        <v>10766.933333333327</v>
      </c>
      <c r="AC192" s="339">
        <f t="shared" si="190"/>
        <v>121.33333333333333</v>
      </c>
      <c r="AD192" s="325">
        <f t="shared" si="191"/>
        <v>122.75</v>
      </c>
      <c r="AE192" s="339">
        <f t="shared" si="192"/>
        <v>131.33333333333334</v>
      </c>
      <c r="AF192" s="325">
        <f t="shared" si="193"/>
        <v>121.75</v>
      </c>
      <c r="AG192" s="338">
        <f t="shared" si="194"/>
        <v>-8.3333333333333329E-2</v>
      </c>
    </row>
    <row r="193" spans="1:33">
      <c r="A193" s="658"/>
      <c r="B193" s="333" t="s">
        <v>983</v>
      </c>
      <c r="C193" s="333">
        <v>121</v>
      </c>
      <c r="D193" s="333">
        <v>5</v>
      </c>
      <c r="E193" s="342">
        <v>0</v>
      </c>
      <c r="G193" s="351" t="s">
        <v>888</v>
      </c>
      <c r="H193" s="333">
        <v>10</v>
      </c>
      <c r="I193" s="325">
        <f t="shared" si="195"/>
        <v>131</v>
      </c>
      <c r="L193" s="646">
        <v>9309</v>
      </c>
      <c r="N193" s="328">
        <f t="shared" si="196"/>
        <v>9309</v>
      </c>
      <c r="O193" s="328">
        <f t="shared" si="197"/>
        <v>77.575000000000003</v>
      </c>
      <c r="P193" s="328">
        <f t="shared" si="207"/>
        <v>930.90000000000009</v>
      </c>
      <c r="Q193" s="325">
        <f t="shared" si="198"/>
        <v>0</v>
      </c>
      <c r="R193" s="328">
        <f t="shared" si="199"/>
        <v>930.90000000000009</v>
      </c>
      <c r="S193" s="340">
        <v>1</v>
      </c>
      <c r="T193" s="328">
        <f t="shared" si="200"/>
        <v>930.90000000000009</v>
      </c>
      <c r="V193" s="328">
        <f t="shared" si="201"/>
        <v>387.87500000000443</v>
      </c>
      <c r="W193" s="328">
        <f t="shared" si="202"/>
        <v>387.87500000000443</v>
      </c>
      <c r="X193" s="340">
        <v>1</v>
      </c>
      <c r="Y193" s="328">
        <f t="shared" si="203"/>
        <v>387.87500000000443</v>
      </c>
      <c r="Z193" s="328">
        <f t="shared" si="204"/>
        <v>1318.7750000000046</v>
      </c>
      <c r="AA193" s="328">
        <f t="shared" si="205"/>
        <v>8455.6749999999956</v>
      </c>
      <c r="AB193" s="328">
        <f t="shared" si="206"/>
        <v>7990.2249999999949</v>
      </c>
      <c r="AC193" s="339">
        <f t="shared" si="190"/>
        <v>121.33333333333333</v>
      </c>
      <c r="AD193" s="325">
        <f t="shared" si="191"/>
        <v>122.75</v>
      </c>
      <c r="AE193" s="339">
        <f t="shared" si="192"/>
        <v>131.33333333333334</v>
      </c>
      <c r="AF193" s="325">
        <f t="shared" si="193"/>
        <v>121.75</v>
      </c>
      <c r="AG193" s="338">
        <f t="shared" si="194"/>
        <v>-8.3333333333333329E-2</v>
      </c>
    </row>
    <row r="194" spans="1:33">
      <c r="A194" s="658"/>
      <c r="B194" s="333" t="s">
        <v>1387</v>
      </c>
      <c r="C194" s="333">
        <v>121</v>
      </c>
      <c r="D194" s="333">
        <v>5</v>
      </c>
      <c r="E194" s="342">
        <v>0</v>
      </c>
      <c r="G194" s="351" t="s">
        <v>888</v>
      </c>
      <c r="H194" s="333">
        <v>10</v>
      </c>
      <c r="I194" s="325">
        <f t="shared" si="195"/>
        <v>131</v>
      </c>
      <c r="L194" s="646">
        <v>15751</v>
      </c>
      <c r="N194" s="328">
        <f t="shared" si="196"/>
        <v>15751</v>
      </c>
      <c r="O194" s="328">
        <f t="shared" si="197"/>
        <v>131.25833333333333</v>
      </c>
      <c r="P194" s="328">
        <f t="shared" si="207"/>
        <v>1575.1</v>
      </c>
      <c r="Q194" s="325">
        <f t="shared" si="198"/>
        <v>0</v>
      </c>
      <c r="R194" s="328">
        <f t="shared" si="199"/>
        <v>1575.1</v>
      </c>
      <c r="S194" s="340">
        <v>1</v>
      </c>
      <c r="T194" s="328">
        <f t="shared" si="200"/>
        <v>1575.1</v>
      </c>
      <c r="V194" s="328">
        <f t="shared" si="201"/>
        <v>656.29166666667413</v>
      </c>
      <c r="W194" s="328">
        <f t="shared" si="202"/>
        <v>656.29166666667413</v>
      </c>
      <c r="X194" s="340">
        <v>1</v>
      </c>
      <c r="Y194" s="328">
        <f t="shared" si="203"/>
        <v>656.29166666667413</v>
      </c>
      <c r="Z194" s="328">
        <f t="shared" si="204"/>
        <v>2231.3916666666742</v>
      </c>
      <c r="AA194" s="328">
        <f t="shared" si="205"/>
        <v>14307.158333333326</v>
      </c>
      <c r="AB194" s="328">
        <f t="shared" si="206"/>
        <v>13519.608333333326</v>
      </c>
      <c r="AC194" s="339">
        <f t="shared" si="190"/>
        <v>121.33333333333333</v>
      </c>
      <c r="AD194" s="325">
        <f t="shared" si="191"/>
        <v>122.75</v>
      </c>
      <c r="AE194" s="339">
        <f t="shared" si="192"/>
        <v>131.33333333333334</v>
      </c>
      <c r="AF194" s="325">
        <f t="shared" si="193"/>
        <v>121.75</v>
      </c>
      <c r="AG194" s="338">
        <f t="shared" si="194"/>
        <v>-8.3333333333333329E-2</v>
      </c>
    </row>
    <row r="195" spans="1:33">
      <c r="A195" s="658"/>
      <c r="B195" s="333" t="s">
        <v>1309</v>
      </c>
      <c r="C195" s="333">
        <v>121</v>
      </c>
      <c r="D195" s="333">
        <v>8</v>
      </c>
      <c r="E195" s="342">
        <v>0</v>
      </c>
      <c r="G195" s="351" t="s">
        <v>888</v>
      </c>
      <c r="H195" s="333">
        <v>10</v>
      </c>
      <c r="I195" s="325">
        <f t="shared" si="195"/>
        <v>131</v>
      </c>
      <c r="L195" s="646">
        <v>2615</v>
      </c>
      <c r="N195" s="328">
        <f t="shared" si="196"/>
        <v>2615</v>
      </c>
      <c r="O195" s="328">
        <f t="shared" si="197"/>
        <v>21.791666666666668</v>
      </c>
      <c r="P195" s="328">
        <f t="shared" si="207"/>
        <v>261.5</v>
      </c>
      <c r="Q195" s="325">
        <f t="shared" si="198"/>
        <v>0</v>
      </c>
      <c r="R195" s="328">
        <f t="shared" si="199"/>
        <v>261.5</v>
      </c>
      <c r="S195" s="340">
        <v>1</v>
      </c>
      <c r="T195" s="328">
        <f t="shared" si="200"/>
        <v>261.5</v>
      </c>
      <c r="V195" s="328">
        <f t="shared" si="201"/>
        <v>43.583333333334572</v>
      </c>
      <c r="W195" s="328">
        <f t="shared" si="202"/>
        <v>43.583333333334572</v>
      </c>
      <c r="X195" s="340">
        <v>1</v>
      </c>
      <c r="Y195" s="328">
        <f t="shared" si="203"/>
        <v>43.583333333334572</v>
      </c>
      <c r="Z195" s="328">
        <f t="shared" si="204"/>
        <v>305.08333333333456</v>
      </c>
      <c r="AA195" s="328">
        <f t="shared" si="205"/>
        <v>2440.6666666666656</v>
      </c>
      <c r="AB195" s="328">
        <f t="shared" si="206"/>
        <v>2309.9166666666656</v>
      </c>
      <c r="AC195" s="339">
        <f t="shared" si="190"/>
        <v>121.58333333333333</v>
      </c>
      <c r="AD195" s="325">
        <f t="shared" si="191"/>
        <v>122.75</v>
      </c>
      <c r="AE195" s="339">
        <f t="shared" si="192"/>
        <v>131.58333333333334</v>
      </c>
      <c r="AF195" s="325">
        <f t="shared" si="193"/>
        <v>121.75</v>
      </c>
      <c r="AG195" s="338">
        <f t="shared" si="194"/>
        <v>-8.3333333333333329E-2</v>
      </c>
    </row>
    <row r="196" spans="1:33">
      <c r="A196" s="658"/>
      <c r="B196" s="333" t="s">
        <v>1386</v>
      </c>
      <c r="C196" s="333">
        <v>121</v>
      </c>
      <c r="D196" s="333">
        <v>12</v>
      </c>
      <c r="E196" s="342">
        <v>0</v>
      </c>
      <c r="G196" s="351" t="s">
        <v>888</v>
      </c>
      <c r="H196" s="333">
        <v>10</v>
      </c>
      <c r="I196" s="325">
        <f t="shared" si="195"/>
        <v>131</v>
      </c>
      <c r="L196" s="646">
        <v>1170</v>
      </c>
      <c r="N196" s="328">
        <f t="shared" si="196"/>
        <v>1170</v>
      </c>
      <c r="O196" s="328">
        <f t="shared" si="197"/>
        <v>9.75</v>
      </c>
      <c r="P196" s="328">
        <f t="shared" si="207"/>
        <v>97.499999999999446</v>
      </c>
      <c r="Q196" s="325">
        <f t="shared" si="198"/>
        <v>0</v>
      </c>
      <c r="R196" s="328">
        <f t="shared" si="199"/>
        <v>97.499999999999446</v>
      </c>
      <c r="S196" s="340">
        <v>1</v>
      </c>
      <c r="T196" s="328">
        <f t="shared" si="200"/>
        <v>97.499999999999446</v>
      </c>
      <c r="V196" s="328">
        <f t="shared" si="201"/>
        <v>0</v>
      </c>
      <c r="W196" s="328">
        <f t="shared" si="202"/>
        <v>0</v>
      </c>
      <c r="X196" s="340">
        <v>1</v>
      </c>
      <c r="Y196" s="328">
        <f t="shared" si="203"/>
        <v>0</v>
      </c>
      <c r="Z196" s="328">
        <f t="shared" si="204"/>
        <v>97.499999999999446</v>
      </c>
      <c r="AA196" s="328">
        <f t="shared" si="205"/>
        <v>536.25000000000023</v>
      </c>
      <c r="AB196" s="328">
        <f t="shared" si="206"/>
        <v>1072.5000000000005</v>
      </c>
      <c r="AC196" s="339">
        <f t="shared" si="190"/>
        <v>121.91666666666667</v>
      </c>
      <c r="AD196" s="325">
        <f t="shared" si="191"/>
        <v>122.75</v>
      </c>
      <c r="AE196" s="339">
        <f t="shared" si="192"/>
        <v>131.91666666666666</v>
      </c>
      <c r="AF196" s="325">
        <f t="shared" si="193"/>
        <v>121.75</v>
      </c>
      <c r="AG196" s="338">
        <f t="shared" si="194"/>
        <v>-8.3333333333333329E-2</v>
      </c>
    </row>
    <row r="197" spans="1:33">
      <c r="A197" s="658"/>
      <c r="B197" s="333" t="s">
        <v>1309</v>
      </c>
      <c r="C197" s="333">
        <v>122</v>
      </c>
      <c r="D197" s="333">
        <v>3</v>
      </c>
      <c r="E197" s="342">
        <v>0</v>
      </c>
      <c r="G197" s="351" t="s">
        <v>888</v>
      </c>
      <c r="H197" s="333">
        <v>10</v>
      </c>
      <c r="I197" s="325">
        <f t="shared" ref="I197:I200" si="208">C197+H197</f>
        <v>132</v>
      </c>
      <c r="L197" s="646">
        <v>8715.65</v>
      </c>
      <c r="N197" s="328">
        <f t="shared" ref="N197:N200" si="209">L197-L197*E197</f>
        <v>8715.65</v>
      </c>
      <c r="O197" s="328">
        <f t="shared" ref="O197:O200" si="210">N197/H197/12</f>
        <v>72.630416666666662</v>
      </c>
      <c r="P197" s="328">
        <f t="shared" ref="P197:P200" si="211">IF(M197&gt;0,0,IF(OR(AC197&gt;AD197,AE197&lt;AF197),0,IF(AND(AE197&gt;=AF197,AE197&lt;=AD197),O197*((AE197-AF197)*12),IF(AND(AF197&lt;=AC197,AD197&gt;=AC197),((AD197-AC197)*12)*O197,IF(AE197&gt;AD197,12*O197,0)))))</f>
        <v>508.41291666666251</v>
      </c>
      <c r="Q197" s="325">
        <f t="shared" ref="Q197:Q200" si="212">IF(M197=0,0,IF(AND(AG197&gt;=AF197,AG197&lt;=AE197),((AG197-AF197)*12)*O197,0))</f>
        <v>0</v>
      </c>
      <c r="R197" s="328">
        <f t="shared" ref="R197:R200" si="213">IF(Q197&gt;0,Q197,P197)</f>
        <v>508.41291666666251</v>
      </c>
      <c r="S197" s="340">
        <v>1</v>
      </c>
      <c r="T197" s="328">
        <f t="shared" ref="T197:T200" si="214">S197*SUM(P197:Q197)</f>
        <v>508.41291666666251</v>
      </c>
      <c r="V197" s="328">
        <f t="shared" ref="V197:V200" si="215">IF(AC197&gt;AD197,0,IF(AE197&lt;AF197,N197,IF(AND(AE197&gt;=AF197,AE197&lt;=AD197),(N197-R197),IF(AND(AF197&lt;=AC197,AD197&gt;=AC197),0,IF(AE197&gt;AD197,((AF197-AC197)*12)*O197,0)))))</f>
        <v>0</v>
      </c>
      <c r="W197" s="328">
        <f t="shared" ref="W197:W200" si="216">V197*S197</f>
        <v>0</v>
      </c>
      <c r="X197" s="340">
        <v>1</v>
      </c>
      <c r="Y197" s="328">
        <f t="shared" ref="Y197:Y200" si="217">W197*X197</f>
        <v>0</v>
      </c>
      <c r="Z197" s="328">
        <f t="shared" ref="Z197:Z200" si="218">IF(M197&gt;0,0,Y197+T197*X197)*X197</f>
        <v>508.41291666666251</v>
      </c>
      <c r="AA197" s="328">
        <f t="shared" ref="AA197:AA200" si="219">IF(M197&gt;0,(L197-Y197)/2,IF(AC197&gt;=AF197,(((L197*S197)*X197)-Z197)/2,((((L197*S197)*X197)-Y197)+(((L197*S197)*X197)-Z197))/2))</f>
        <v>4103.6185416666685</v>
      </c>
      <c r="AB197" s="328">
        <f t="shared" ref="AB197:AB200" si="220">L197-Z197</f>
        <v>8207.2370833333371</v>
      </c>
      <c r="AC197" s="339">
        <f t="shared" si="190"/>
        <v>122.16666666666667</v>
      </c>
      <c r="AD197" s="325">
        <f t="shared" si="191"/>
        <v>122.75</v>
      </c>
      <c r="AE197" s="339">
        <f t="shared" si="192"/>
        <v>132.16666666666666</v>
      </c>
      <c r="AF197" s="325">
        <f t="shared" si="193"/>
        <v>121.75</v>
      </c>
      <c r="AG197" s="338">
        <f t="shared" si="194"/>
        <v>-8.3333333333333329E-2</v>
      </c>
    </row>
    <row r="198" spans="1:33">
      <c r="A198" s="658"/>
      <c r="B198" s="333" t="s">
        <v>1473</v>
      </c>
      <c r="C198" s="333">
        <v>122</v>
      </c>
      <c r="D198" s="333">
        <v>4</v>
      </c>
      <c r="E198" s="342">
        <v>0</v>
      </c>
      <c r="G198" s="351" t="s">
        <v>888</v>
      </c>
      <c r="H198" s="333">
        <v>10</v>
      </c>
      <c r="I198" s="325">
        <f t="shared" si="208"/>
        <v>132</v>
      </c>
      <c r="L198" s="646">
        <v>22886</v>
      </c>
      <c r="N198" s="328">
        <f t="shared" si="209"/>
        <v>22886</v>
      </c>
      <c r="O198" s="328">
        <f t="shared" si="210"/>
        <v>190.71666666666667</v>
      </c>
      <c r="P198" s="328">
        <f t="shared" si="211"/>
        <v>1144.3</v>
      </c>
      <c r="Q198" s="325">
        <f t="shared" si="212"/>
        <v>0</v>
      </c>
      <c r="R198" s="328">
        <f t="shared" si="213"/>
        <v>1144.3</v>
      </c>
      <c r="S198" s="340">
        <v>1</v>
      </c>
      <c r="T198" s="328">
        <f t="shared" si="214"/>
        <v>1144.3</v>
      </c>
      <c r="V198" s="328">
        <f t="shared" si="215"/>
        <v>0</v>
      </c>
      <c r="W198" s="328">
        <f t="shared" si="216"/>
        <v>0</v>
      </c>
      <c r="X198" s="340">
        <v>1</v>
      </c>
      <c r="Y198" s="328">
        <f t="shared" si="217"/>
        <v>0</v>
      </c>
      <c r="Z198" s="328">
        <f t="shared" si="218"/>
        <v>1144.3</v>
      </c>
      <c r="AA198" s="328">
        <f t="shared" si="219"/>
        <v>10870.85</v>
      </c>
      <c r="AB198" s="328">
        <f t="shared" si="220"/>
        <v>21741.7</v>
      </c>
      <c r="AC198" s="339">
        <f t="shared" si="190"/>
        <v>122.25</v>
      </c>
      <c r="AD198" s="325">
        <f t="shared" si="191"/>
        <v>122.75</v>
      </c>
      <c r="AE198" s="339">
        <f t="shared" si="192"/>
        <v>132.25</v>
      </c>
      <c r="AF198" s="325">
        <f t="shared" si="193"/>
        <v>121.75</v>
      </c>
      <c r="AG198" s="338">
        <f t="shared" si="194"/>
        <v>-8.3333333333333329E-2</v>
      </c>
    </row>
    <row r="199" spans="1:33">
      <c r="A199" s="658"/>
      <c r="B199" s="333" t="s">
        <v>1294</v>
      </c>
      <c r="C199" s="333">
        <v>122</v>
      </c>
      <c r="D199" s="333">
        <v>4</v>
      </c>
      <c r="E199" s="342">
        <v>0</v>
      </c>
      <c r="G199" s="351" t="s">
        <v>888</v>
      </c>
      <c r="H199" s="333">
        <v>10</v>
      </c>
      <c r="I199" s="325">
        <f t="shared" si="208"/>
        <v>132</v>
      </c>
      <c r="L199" s="646">
        <v>24615</v>
      </c>
      <c r="N199" s="328">
        <f t="shared" si="209"/>
        <v>24615</v>
      </c>
      <c r="O199" s="328">
        <f t="shared" si="210"/>
        <v>205.125</v>
      </c>
      <c r="P199" s="328">
        <f t="shared" si="211"/>
        <v>1230.75</v>
      </c>
      <c r="Q199" s="325">
        <f t="shared" si="212"/>
        <v>0</v>
      </c>
      <c r="R199" s="328">
        <f t="shared" si="213"/>
        <v>1230.75</v>
      </c>
      <c r="S199" s="340">
        <v>1</v>
      </c>
      <c r="T199" s="328">
        <f t="shared" si="214"/>
        <v>1230.75</v>
      </c>
      <c r="V199" s="328">
        <f t="shared" si="215"/>
        <v>0</v>
      </c>
      <c r="W199" s="328">
        <f t="shared" si="216"/>
        <v>0</v>
      </c>
      <c r="X199" s="340">
        <v>1</v>
      </c>
      <c r="Y199" s="328">
        <f t="shared" si="217"/>
        <v>0</v>
      </c>
      <c r="Z199" s="328">
        <f t="shared" si="218"/>
        <v>1230.75</v>
      </c>
      <c r="AA199" s="328">
        <f t="shared" si="219"/>
        <v>11692.125</v>
      </c>
      <c r="AB199" s="328">
        <f t="shared" si="220"/>
        <v>23384.25</v>
      </c>
      <c r="AC199" s="339">
        <f t="shared" si="190"/>
        <v>122.25</v>
      </c>
      <c r="AD199" s="325">
        <f t="shared" si="191"/>
        <v>122.75</v>
      </c>
      <c r="AE199" s="339">
        <f t="shared" si="192"/>
        <v>132.25</v>
      </c>
      <c r="AF199" s="325">
        <f t="shared" si="193"/>
        <v>121.75</v>
      </c>
      <c r="AG199" s="338">
        <f t="shared" si="194"/>
        <v>-8.3333333333333329E-2</v>
      </c>
    </row>
    <row r="200" spans="1:33">
      <c r="A200" s="658"/>
      <c r="B200" s="333" t="s">
        <v>1474</v>
      </c>
      <c r="C200" s="333">
        <v>122</v>
      </c>
      <c r="D200" s="333">
        <v>4</v>
      </c>
      <c r="E200" s="342">
        <v>0</v>
      </c>
      <c r="G200" s="351" t="s">
        <v>888</v>
      </c>
      <c r="H200" s="333">
        <v>10</v>
      </c>
      <c r="I200" s="325">
        <f t="shared" si="208"/>
        <v>132</v>
      </c>
      <c r="L200" s="646">
        <v>14558</v>
      </c>
      <c r="N200" s="328">
        <f t="shared" si="209"/>
        <v>14558</v>
      </c>
      <c r="O200" s="328">
        <f t="shared" si="210"/>
        <v>121.31666666666666</v>
      </c>
      <c r="P200" s="328">
        <f t="shared" si="211"/>
        <v>727.9</v>
      </c>
      <c r="Q200" s="325">
        <f t="shared" si="212"/>
        <v>0</v>
      </c>
      <c r="R200" s="328">
        <f t="shared" si="213"/>
        <v>727.9</v>
      </c>
      <c r="S200" s="340">
        <v>1</v>
      </c>
      <c r="T200" s="328">
        <f t="shared" si="214"/>
        <v>727.9</v>
      </c>
      <c r="V200" s="328">
        <f t="shared" si="215"/>
        <v>0</v>
      </c>
      <c r="W200" s="328">
        <f t="shared" si="216"/>
        <v>0</v>
      </c>
      <c r="X200" s="340">
        <v>1</v>
      </c>
      <c r="Y200" s="328">
        <f t="shared" si="217"/>
        <v>0</v>
      </c>
      <c r="Z200" s="328">
        <f t="shared" si="218"/>
        <v>727.9</v>
      </c>
      <c r="AA200" s="328">
        <f t="shared" si="219"/>
        <v>6915.05</v>
      </c>
      <c r="AB200" s="328">
        <f t="shared" si="220"/>
        <v>13830.1</v>
      </c>
      <c r="AC200" s="339">
        <f t="shared" si="190"/>
        <v>122.25</v>
      </c>
      <c r="AD200" s="325">
        <f t="shared" si="191"/>
        <v>122.75</v>
      </c>
      <c r="AE200" s="339">
        <f t="shared" si="192"/>
        <v>132.25</v>
      </c>
      <c r="AF200" s="325">
        <f t="shared" si="193"/>
        <v>121.75</v>
      </c>
      <c r="AG200" s="338">
        <f t="shared" si="194"/>
        <v>-8.3333333333333329E-2</v>
      </c>
    </row>
    <row r="201" spans="1:33">
      <c r="A201" s="658"/>
      <c r="B201" s="333" t="s">
        <v>986</v>
      </c>
      <c r="C201" s="333">
        <v>122</v>
      </c>
      <c r="D201" s="333">
        <v>4</v>
      </c>
      <c r="E201" s="342">
        <v>0</v>
      </c>
      <c r="G201" s="351" t="s">
        <v>888</v>
      </c>
      <c r="H201" s="333">
        <v>10</v>
      </c>
      <c r="I201" s="325">
        <f t="shared" si="178"/>
        <v>132</v>
      </c>
      <c r="L201" s="646">
        <v>6367</v>
      </c>
      <c r="N201" s="328">
        <f t="shared" si="179"/>
        <v>6367</v>
      </c>
      <c r="O201" s="328">
        <f t="shared" si="180"/>
        <v>53.058333333333337</v>
      </c>
      <c r="P201" s="328">
        <f t="shared" si="181"/>
        <v>318.35000000000002</v>
      </c>
      <c r="Q201" s="325">
        <f t="shared" si="182"/>
        <v>0</v>
      </c>
      <c r="R201" s="328">
        <f t="shared" si="183"/>
        <v>318.35000000000002</v>
      </c>
      <c r="S201" s="340">
        <v>1</v>
      </c>
      <c r="T201" s="328">
        <f t="shared" si="184"/>
        <v>318.35000000000002</v>
      </c>
      <c r="V201" s="328">
        <f t="shared" si="185"/>
        <v>0</v>
      </c>
      <c r="W201" s="328">
        <f t="shared" si="186"/>
        <v>0</v>
      </c>
      <c r="X201" s="340">
        <v>1</v>
      </c>
      <c r="Y201" s="328">
        <f t="shared" si="187"/>
        <v>0</v>
      </c>
      <c r="Z201" s="328">
        <f t="shared" si="188"/>
        <v>318.35000000000002</v>
      </c>
      <c r="AA201" s="328">
        <f t="shared" si="189"/>
        <v>3024.3249999999998</v>
      </c>
      <c r="AB201" s="328">
        <f t="shared" si="177"/>
        <v>6048.65</v>
      </c>
      <c r="AC201" s="339">
        <f t="shared" si="190"/>
        <v>122.25</v>
      </c>
      <c r="AD201" s="325">
        <f t="shared" si="191"/>
        <v>122.75</v>
      </c>
      <c r="AE201" s="339">
        <f t="shared" si="192"/>
        <v>132.25</v>
      </c>
      <c r="AF201" s="325">
        <f t="shared" si="193"/>
        <v>121.75</v>
      </c>
      <c r="AG201" s="338">
        <f t="shared" si="194"/>
        <v>-8.3333333333333329E-2</v>
      </c>
    </row>
    <row r="202" spans="1:33">
      <c r="I202" s="330"/>
      <c r="L202" s="328"/>
      <c r="N202" s="328"/>
      <c r="P202" s="353"/>
      <c r="Q202" s="353"/>
      <c r="R202" s="352"/>
      <c r="Y202" s="328"/>
      <c r="Z202" s="328"/>
    </row>
    <row r="203" spans="1:33" ht="16.5" thickBot="1">
      <c r="B203" s="333" t="s">
        <v>971</v>
      </c>
      <c r="I203" s="330"/>
      <c r="L203" s="328">
        <f>SUM(L71:L202)</f>
        <v>536692.65</v>
      </c>
      <c r="N203" s="328">
        <f>SUM(N71:N202)</f>
        <v>536692.65</v>
      </c>
      <c r="P203" s="679">
        <f t="shared" ref="P203:R203" si="221">SUM(P71:P201)</f>
        <v>22002.012916666659</v>
      </c>
      <c r="Q203" s="679">
        <f t="shared" si="221"/>
        <v>0</v>
      </c>
      <c r="R203" s="343">
        <f t="shared" si="221"/>
        <v>22002.012916666659</v>
      </c>
      <c r="T203" s="335">
        <f>SUM(T71:T201)</f>
        <v>22002.012916666659</v>
      </c>
      <c r="V203" s="328">
        <f>SUM(V71:V202)</f>
        <v>333361.89166666678</v>
      </c>
      <c r="W203" s="328">
        <f>SUM(W71:W202)</f>
        <v>333361.89166666678</v>
      </c>
      <c r="Y203" s="328">
        <f>SUM(Y71:Y202)</f>
        <v>333361.89166666678</v>
      </c>
      <c r="Z203" s="328">
        <f>SUM(Z71:Z202)</f>
        <v>355363.90458333323</v>
      </c>
      <c r="AA203" s="335">
        <f>SUM(AA71:AA201)</f>
        <v>153173.92687499998</v>
      </c>
      <c r="AB203" s="335">
        <f>SUM(AB71:AB201)</f>
        <v>181328.74541666664</v>
      </c>
    </row>
    <row r="204" spans="1:33" ht="16.5" thickTop="1">
      <c r="I204" s="330" t="s">
        <v>886</v>
      </c>
      <c r="L204" s="334">
        <f>SUM(L71:L195)</f>
        <v>458381</v>
      </c>
      <c r="N204" s="328"/>
      <c r="R204" s="328"/>
      <c r="T204" s="329"/>
      <c r="Y204" s="328"/>
      <c r="Z204" s="328"/>
      <c r="AA204" s="329"/>
      <c r="AB204" s="329"/>
    </row>
    <row r="205" spans="1:33">
      <c r="B205" s="333" t="s">
        <v>970</v>
      </c>
      <c r="I205" s="330"/>
      <c r="L205" s="328"/>
      <c r="N205" s="328"/>
      <c r="R205" s="328"/>
      <c r="T205" s="329"/>
      <c r="Y205" s="328"/>
      <c r="Z205" s="328"/>
      <c r="AA205" s="329"/>
      <c r="AB205" s="329"/>
    </row>
    <row r="206" spans="1:33">
      <c r="B206" s="333" t="s">
        <v>969</v>
      </c>
      <c r="C206" s="333">
        <v>105</v>
      </c>
      <c r="D206" s="333">
        <v>8</v>
      </c>
      <c r="E206" s="342">
        <v>0</v>
      </c>
      <c r="G206" s="333" t="s">
        <v>888</v>
      </c>
      <c r="H206" s="333">
        <v>10</v>
      </c>
      <c r="I206" s="325">
        <f t="shared" ref="I206:I231" si="222">C206+H206</f>
        <v>115</v>
      </c>
      <c r="L206" s="331">
        <v>5406</v>
      </c>
      <c r="N206" s="328">
        <f t="shared" ref="N206:N231" si="223">L206-L206*E206</f>
        <v>5406</v>
      </c>
      <c r="O206" s="328">
        <f t="shared" ref="O206:O231" si="224">N206/H206/12</f>
        <v>45.050000000000004</v>
      </c>
      <c r="P206" s="328">
        <f t="shared" ref="P206:P231" si="225">IF(M206&gt;0,0,IF(OR(AC206&gt;AD206,AE206&lt;AF206),0,IF(AND(AE206&gt;=AF206,AE206&lt;=AD206),O206*((AE206-AF206)*12),IF(AND(AF206&lt;=AC206,AD206&gt;=AC206),((AD206-AC206)*12)*O206,IF(AE206&gt;AD206,12*O206,0)))))</f>
        <v>0</v>
      </c>
      <c r="Q206" s="325">
        <f t="shared" ref="Q206:Q231" si="226">IF(M206=0,0,IF(AND(AG206&gt;=AF206,AG206&lt;=AE206),((AG206-AF206)*12)*O206,0))</f>
        <v>0</v>
      </c>
      <c r="R206" s="328">
        <f t="shared" ref="R206:R231" si="227">IF(Q206&gt;0,Q206,P206)</f>
        <v>0</v>
      </c>
      <c r="S206" s="340">
        <v>1</v>
      </c>
      <c r="T206" s="328">
        <f t="shared" ref="T206:T231" si="228">S206*SUM(P206:Q206)</f>
        <v>0</v>
      </c>
      <c r="V206" s="328">
        <f t="shared" ref="V206:V231" si="229">IF(AC206&gt;AD206,0,IF(AE206&lt;AF206,N206,IF(AND(AE206&gt;=AF206,AE206&lt;=AD206),(N206-R206),IF(AND(AF206&lt;=AC206,AD206&gt;=AC206),0,IF(AE206&gt;AD206,((AF206-AC206)*12)*O206,0)))))</f>
        <v>5406</v>
      </c>
      <c r="W206" s="328">
        <f t="shared" ref="W206:W231" si="230">V206*S206</f>
        <v>5406</v>
      </c>
      <c r="X206" s="340">
        <v>1</v>
      </c>
      <c r="Y206" s="328">
        <f t="shared" ref="Y206:Y231" si="231">W206*X206</f>
        <v>5406</v>
      </c>
      <c r="Z206" s="328">
        <f t="shared" ref="Z206:Z231" si="232">IF(M206&gt;0,0,Y206+T206*X206)*X206</f>
        <v>5406</v>
      </c>
      <c r="AA206" s="328">
        <f t="shared" ref="AA206:AA231" si="233">IF(M206&gt;0,(L206-Y206)/2,IF(AC206&gt;=AF206,(((L206*S206)*X206)-Z206)/2,((((L206*S206)*X206)-Y206)+(((L206*S206)*X206)-Z206))/2))</f>
        <v>0</v>
      </c>
      <c r="AB206" s="328">
        <f>L206-Z206</f>
        <v>0</v>
      </c>
      <c r="AC206" s="339">
        <f t="shared" ref="AC206:AC231" si="234">$C206+(($D206-1)/12)</f>
        <v>105.58333333333333</v>
      </c>
      <c r="AD206" s="325">
        <f t="shared" ref="AD206:AD231" si="235">($N$5+1)-($N$2/12)</f>
        <v>122.75</v>
      </c>
      <c r="AE206" s="339">
        <f t="shared" ref="AE206:AE231" si="236">$I206+(($D206-1)/12)</f>
        <v>115.58333333333333</v>
      </c>
      <c r="AF206" s="325">
        <f t="shared" ref="AF206:AF231" si="237">$N$4+($N$3/12)</f>
        <v>121.75</v>
      </c>
      <c r="AG206" s="338">
        <f t="shared" ref="AG206:AG231" si="238">$J206+(($K206-1)/12)</f>
        <v>-8.3333333333333329E-2</v>
      </c>
    </row>
    <row r="207" spans="1:33">
      <c r="B207" s="333" t="s">
        <v>960</v>
      </c>
      <c r="C207" s="333">
        <v>105</v>
      </c>
      <c r="D207" s="333">
        <v>8</v>
      </c>
      <c r="E207" s="342">
        <v>0</v>
      </c>
      <c r="G207" s="333" t="s">
        <v>888</v>
      </c>
      <c r="H207" s="333">
        <v>10</v>
      </c>
      <c r="I207" s="325">
        <f t="shared" si="222"/>
        <v>115</v>
      </c>
      <c r="L207" s="331">
        <v>5894</v>
      </c>
      <c r="N207" s="328">
        <f t="shared" si="223"/>
        <v>5894</v>
      </c>
      <c r="O207" s="328">
        <f t="shared" si="224"/>
        <v>49.116666666666667</v>
      </c>
      <c r="P207" s="328">
        <f t="shared" si="225"/>
        <v>0</v>
      </c>
      <c r="Q207" s="325">
        <f t="shared" si="226"/>
        <v>0</v>
      </c>
      <c r="R207" s="328">
        <f t="shared" si="227"/>
        <v>0</v>
      </c>
      <c r="S207" s="340">
        <v>1</v>
      </c>
      <c r="T207" s="328">
        <f t="shared" si="228"/>
        <v>0</v>
      </c>
      <c r="V207" s="328">
        <f t="shared" si="229"/>
        <v>5894</v>
      </c>
      <c r="W207" s="328">
        <f t="shared" si="230"/>
        <v>5894</v>
      </c>
      <c r="X207" s="340">
        <v>1</v>
      </c>
      <c r="Y207" s="328">
        <f t="shared" si="231"/>
        <v>5894</v>
      </c>
      <c r="Z207" s="328">
        <f t="shared" si="232"/>
        <v>5894</v>
      </c>
      <c r="AA207" s="328">
        <f t="shared" si="233"/>
        <v>0</v>
      </c>
      <c r="AB207" s="328">
        <f t="shared" ref="AB207:AB231" si="239">L207-Z207</f>
        <v>0</v>
      </c>
      <c r="AC207" s="339">
        <f t="shared" si="234"/>
        <v>105.58333333333333</v>
      </c>
      <c r="AD207" s="325">
        <f t="shared" si="235"/>
        <v>122.75</v>
      </c>
      <c r="AE207" s="339">
        <f t="shared" si="236"/>
        <v>115.58333333333333</v>
      </c>
      <c r="AF207" s="325">
        <f t="shared" si="237"/>
        <v>121.75</v>
      </c>
      <c r="AG207" s="338">
        <f t="shared" si="238"/>
        <v>-8.3333333333333329E-2</v>
      </c>
    </row>
    <row r="208" spans="1:33">
      <c r="B208" s="333" t="s">
        <v>968</v>
      </c>
      <c r="C208" s="333">
        <v>108</v>
      </c>
      <c r="D208" s="333">
        <v>12</v>
      </c>
      <c r="E208" s="342">
        <v>0</v>
      </c>
      <c r="G208" s="333" t="s">
        <v>888</v>
      </c>
      <c r="H208" s="333">
        <v>10</v>
      </c>
      <c r="I208" s="325">
        <f t="shared" si="222"/>
        <v>118</v>
      </c>
      <c r="L208" s="331">
        <v>23738</v>
      </c>
      <c r="N208" s="328">
        <f t="shared" si="223"/>
        <v>23738</v>
      </c>
      <c r="O208" s="328">
        <f t="shared" si="224"/>
        <v>197.81666666666669</v>
      </c>
      <c r="P208" s="414">
        <v>0</v>
      </c>
      <c r="Q208" s="325">
        <f t="shared" si="226"/>
        <v>0</v>
      </c>
      <c r="R208" s="328">
        <f t="shared" si="227"/>
        <v>0</v>
      </c>
      <c r="S208" s="340">
        <v>1</v>
      </c>
      <c r="T208" s="328">
        <f t="shared" si="228"/>
        <v>0</v>
      </c>
      <c r="V208" s="328">
        <f t="shared" si="229"/>
        <v>23738</v>
      </c>
      <c r="W208" s="328">
        <f t="shared" si="230"/>
        <v>23738</v>
      </c>
      <c r="X208" s="340">
        <v>1</v>
      </c>
      <c r="Y208" s="328">
        <f t="shared" si="231"/>
        <v>23738</v>
      </c>
      <c r="Z208" s="328">
        <f t="shared" si="232"/>
        <v>23738</v>
      </c>
      <c r="AA208" s="328">
        <f t="shared" si="233"/>
        <v>0</v>
      </c>
      <c r="AB208" s="328">
        <f t="shared" si="239"/>
        <v>0</v>
      </c>
      <c r="AC208" s="339">
        <f t="shared" si="234"/>
        <v>108.91666666666667</v>
      </c>
      <c r="AD208" s="325">
        <f t="shared" si="235"/>
        <v>122.75</v>
      </c>
      <c r="AE208" s="339">
        <f t="shared" si="236"/>
        <v>118.91666666666667</v>
      </c>
      <c r="AF208" s="325">
        <f t="shared" si="237"/>
        <v>121.75</v>
      </c>
      <c r="AG208" s="338">
        <f t="shared" si="238"/>
        <v>-8.3333333333333329E-2</v>
      </c>
    </row>
    <row r="209" spans="1:47">
      <c r="B209" s="333" t="s">
        <v>967</v>
      </c>
      <c r="C209" s="333">
        <v>108</v>
      </c>
      <c r="D209" s="333">
        <v>12</v>
      </c>
      <c r="E209" s="342">
        <v>0</v>
      </c>
      <c r="G209" s="333" t="s">
        <v>888</v>
      </c>
      <c r="H209" s="333">
        <v>10</v>
      </c>
      <c r="I209" s="325">
        <f t="shared" si="222"/>
        <v>118</v>
      </c>
      <c r="L209" s="331">
        <v>54140</v>
      </c>
      <c r="N209" s="328">
        <f t="shared" si="223"/>
        <v>54140</v>
      </c>
      <c r="O209" s="328">
        <f t="shared" si="224"/>
        <v>451.16666666666669</v>
      </c>
      <c r="P209" s="414">
        <v>0</v>
      </c>
      <c r="Q209" s="325">
        <f t="shared" si="226"/>
        <v>0</v>
      </c>
      <c r="R209" s="328">
        <f t="shared" si="227"/>
        <v>0</v>
      </c>
      <c r="S209" s="340">
        <v>1</v>
      </c>
      <c r="T209" s="328">
        <f t="shared" si="228"/>
        <v>0</v>
      </c>
      <c r="V209" s="328">
        <f t="shared" si="229"/>
        <v>54140</v>
      </c>
      <c r="W209" s="328">
        <f t="shared" si="230"/>
        <v>54140</v>
      </c>
      <c r="X209" s="340">
        <v>1</v>
      </c>
      <c r="Y209" s="328">
        <f t="shared" si="231"/>
        <v>54140</v>
      </c>
      <c r="Z209" s="328">
        <f t="shared" si="232"/>
        <v>54140</v>
      </c>
      <c r="AA209" s="328">
        <f t="shared" si="233"/>
        <v>0</v>
      </c>
      <c r="AB209" s="328">
        <f t="shared" si="239"/>
        <v>0</v>
      </c>
      <c r="AC209" s="339">
        <f t="shared" si="234"/>
        <v>108.91666666666667</v>
      </c>
      <c r="AD209" s="325">
        <f t="shared" si="235"/>
        <v>122.75</v>
      </c>
      <c r="AE209" s="339">
        <f t="shared" si="236"/>
        <v>118.91666666666667</v>
      </c>
      <c r="AF209" s="325">
        <f t="shared" si="237"/>
        <v>121.75</v>
      </c>
      <c r="AG209" s="338">
        <f t="shared" si="238"/>
        <v>-8.3333333333333329E-2</v>
      </c>
    </row>
    <row r="210" spans="1:47">
      <c r="B210" s="333" t="s">
        <v>966</v>
      </c>
      <c r="C210" s="333">
        <v>111</v>
      </c>
      <c r="D210" s="333">
        <v>4</v>
      </c>
      <c r="E210" s="342">
        <v>0</v>
      </c>
      <c r="G210" s="333" t="s">
        <v>888</v>
      </c>
      <c r="H210" s="333">
        <v>10</v>
      </c>
      <c r="I210" s="325">
        <f t="shared" si="222"/>
        <v>121</v>
      </c>
      <c r="L210" s="331">
        <v>6216</v>
      </c>
      <c r="N210" s="328">
        <f t="shared" si="223"/>
        <v>6216</v>
      </c>
      <c r="O210" s="328">
        <f t="shared" si="224"/>
        <v>51.800000000000004</v>
      </c>
      <c r="P210" s="328">
        <f t="shared" si="225"/>
        <v>0</v>
      </c>
      <c r="Q210" s="325">
        <f t="shared" si="226"/>
        <v>0</v>
      </c>
      <c r="R210" s="328">
        <f t="shared" si="227"/>
        <v>0</v>
      </c>
      <c r="S210" s="340">
        <v>1</v>
      </c>
      <c r="T210" s="328">
        <f t="shared" si="228"/>
        <v>0</v>
      </c>
      <c r="V210" s="328">
        <f t="shared" si="229"/>
        <v>6216</v>
      </c>
      <c r="W210" s="328">
        <f t="shared" si="230"/>
        <v>6216</v>
      </c>
      <c r="X210" s="340">
        <v>1</v>
      </c>
      <c r="Y210" s="328">
        <f t="shared" si="231"/>
        <v>6216</v>
      </c>
      <c r="Z210" s="328">
        <f t="shared" si="232"/>
        <v>6216</v>
      </c>
      <c r="AA210" s="328">
        <f t="shared" si="233"/>
        <v>0</v>
      </c>
      <c r="AB210" s="328">
        <f t="shared" si="239"/>
        <v>0</v>
      </c>
      <c r="AC210" s="339">
        <f t="shared" si="234"/>
        <v>111.25</v>
      </c>
      <c r="AD210" s="325">
        <f t="shared" si="235"/>
        <v>122.75</v>
      </c>
      <c r="AE210" s="339">
        <f t="shared" si="236"/>
        <v>121.25</v>
      </c>
      <c r="AF210" s="325">
        <f t="shared" si="237"/>
        <v>121.75</v>
      </c>
      <c r="AG210" s="338">
        <f t="shared" si="238"/>
        <v>-8.3333333333333329E-2</v>
      </c>
    </row>
    <row r="211" spans="1:47">
      <c r="A211" s="658"/>
      <c r="B211" s="333" t="s">
        <v>966</v>
      </c>
      <c r="C211" s="333">
        <v>112</v>
      </c>
      <c r="D211" s="333">
        <v>5</v>
      </c>
      <c r="E211" s="342">
        <v>0</v>
      </c>
      <c r="G211" s="333" t="s">
        <v>888</v>
      </c>
      <c r="H211" s="333">
        <v>10</v>
      </c>
      <c r="I211" s="325">
        <f t="shared" si="222"/>
        <v>122</v>
      </c>
      <c r="L211" s="646">
        <v>6502</v>
      </c>
      <c r="N211" s="328">
        <f t="shared" si="223"/>
        <v>6502</v>
      </c>
      <c r="O211" s="328">
        <f t="shared" si="224"/>
        <v>54.183333333333337</v>
      </c>
      <c r="P211" s="328">
        <f t="shared" si="225"/>
        <v>379.28333333333029</v>
      </c>
      <c r="Q211" s="325">
        <f t="shared" si="226"/>
        <v>0</v>
      </c>
      <c r="R211" s="328">
        <f t="shared" si="227"/>
        <v>379.28333333333029</v>
      </c>
      <c r="S211" s="340">
        <v>1</v>
      </c>
      <c r="T211" s="328">
        <f t="shared" si="228"/>
        <v>379.28333333333029</v>
      </c>
      <c r="V211" s="328">
        <f t="shared" si="229"/>
        <v>6122.7166666666699</v>
      </c>
      <c r="W211" s="328">
        <f t="shared" si="230"/>
        <v>6122.7166666666699</v>
      </c>
      <c r="X211" s="340">
        <v>1</v>
      </c>
      <c r="Y211" s="328">
        <f t="shared" si="231"/>
        <v>6122.7166666666699</v>
      </c>
      <c r="Z211" s="328">
        <f t="shared" si="232"/>
        <v>6502</v>
      </c>
      <c r="AA211" s="328">
        <f t="shared" si="233"/>
        <v>189.64166666666506</v>
      </c>
      <c r="AB211" s="328">
        <f t="shared" si="239"/>
        <v>0</v>
      </c>
      <c r="AC211" s="339">
        <f t="shared" si="234"/>
        <v>112.33333333333333</v>
      </c>
      <c r="AD211" s="325">
        <f t="shared" si="235"/>
        <v>122.75</v>
      </c>
      <c r="AE211" s="339">
        <f t="shared" si="236"/>
        <v>122.33333333333333</v>
      </c>
      <c r="AF211" s="325">
        <f t="shared" si="237"/>
        <v>121.75</v>
      </c>
      <c r="AG211" s="338">
        <f t="shared" si="238"/>
        <v>-8.3333333333333329E-2</v>
      </c>
    </row>
    <row r="212" spans="1:47">
      <c r="A212" s="658"/>
      <c r="B212" s="333" t="s">
        <v>966</v>
      </c>
      <c r="C212" s="333">
        <v>113</v>
      </c>
      <c r="D212" s="333">
        <v>6</v>
      </c>
      <c r="E212" s="342">
        <v>0</v>
      </c>
      <c r="G212" s="333" t="s">
        <v>888</v>
      </c>
      <c r="H212" s="333">
        <v>10</v>
      </c>
      <c r="I212" s="325">
        <f t="shared" si="222"/>
        <v>123</v>
      </c>
      <c r="L212" s="646">
        <v>7143</v>
      </c>
      <c r="N212" s="328">
        <f t="shared" si="223"/>
        <v>7143</v>
      </c>
      <c r="O212" s="328">
        <f t="shared" si="224"/>
        <v>59.524999999999999</v>
      </c>
      <c r="P212" s="328">
        <f t="shared" si="225"/>
        <v>714.3</v>
      </c>
      <c r="Q212" s="325">
        <f t="shared" si="226"/>
        <v>0</v>
      </c>
      <c r="R212" s="328">
        <f t="shared" si="227"/>
        <v>714.3</v>
      </c>
      <c r="S212" s="340">
        <v>1</v>
      </c>
      <c r="T212" s="328">
        <f t="shared" si="228"/>
        <v>714.3</v>
      </c>
      <c r="V212" s="328">
        <f t="shared" si="229"/>
        <v>5952.4999999999964</v>
      </c>
      <c r="W212" s="328">
        <f t="shared" si="230"/>
        <v>5952.4999999999964</v>
      </c>
      <c r="X212" s="340">
        <v>1</v>
      </c>
      <c r="Y212" s="328">
        <f t="shared" si="231"/>
        <v>5952.4999999999964</v>
      </c>
      <c r="Z212" s="328">
        <f t="shared" si="232"/>
        <v>6666.7999999999965</v>
      </c>
      <c r="AA212" s="328">
        <f t="shared" si="233"/>
        <v>833.35000000000355</v>
      </c>
      <c r="AB212" s="328">
        <f t="shared" si="239"/>
        <v>476.20000000000346</v>
      </c>
      <c r="AC212" s="339">
        <f t="shared" si="234"/>
        <v>113.41666666666667</v>
      </c>
      <c r="AD212" s="325">
        <f t="shared" si="235"/>
        <v>122.75</v>
      </c>
      <c r="AE212" s="339">
        <f t="shared" si="236"/>
        <v>123.41666666666667</v>
      </c>
      <c r="AF212" s="325">
        <f t="shared" si="237"/>
        <v>121.75</v>
      </c>
      <c r="AG212" s="338">
        <f t="shared" si="238"/>
        <v>-8.3333333333333329E-2</v>
      </c>
    </row>
    <row r="213" spans="1:47">
      <c r="A213" s="658"/>
      <c r="B213" s="333" t="s">
        <v>965</v>
      </c>
      <c r="C213" s="333">
        <v>114</v>
      </c>
      <c r="D213" s="333">
        <v>3</v>
      </c>
      <c r="E213" s="342">
        <v>0</v>
      </c>
      <c r="G213" s="333" t="s">
        <v>888</v>
      </c>
      <c r="H213" s="333">
        <v>10</v>
      </c>
      <c r="I213" s="325">
        <f t="shared" si="222"/>
        <v>124</v>
      </c>
      <c r="L213" s="646">
        <v>20720</v>
      </c>
      <c r="N213" s="328">
        <f t="shared" si="223"/>
        <v>20720</v>
      </c>
      <c r="O213" s="328">
        <f t="shared" si="224"/>
        <v>172.66666666666666</v>
      </c>
      <c r="P213" s="328">
        <f t="shared" si="225"/>
        <v>2072</v>
      </c>
      <c r="Q213" s="325">
        <f t="shared" si="226"/>
        <v>0</v>
      </c>
      <c r="R213" s="328">
        <f t="shared" si="227"/>
        <v>2072</v>
      </c>
      <c r="S213" s="340">
        <v>1</v>
      </c>
      <c r="T213" s="328">
        <f t="shared" si="228"/>
        <v>2072</v>
      </c>
      <c r="V213" s="328">
        <f t="shared" si="229"/>
        <v>15712.666666666655</v>
      </c>
      <c r="W213" s="328">
        <f t="shared" si="230"/>
        <v>15712.666666666655</v>
      </c>
      <c r="X213" s="340">
        <v>1</v>
      </c>
      <c r="Y213" s="328">
        <f t="shared" si="231"/>
        <v>15712.666666666655</v>
      </c>
      <c r="Z213" s="328">
        <f t="shared" si="232"/>
        <v>17784.666666666657</v>
      </c>
      <c r="AA213" s="328">
        <f t="shared" si="233"/>
        <v>3971.3333333333439</v>
      </c>
      <c r="AB213" s="328">
        <f t="shared" si="239"/>
        <v>2935.333333333343</v>
      </c>
      <c r="AC213" s="339">
        <f t="shared" si="234"/>
        <v>114.16666666666667</v>
      </c>
      <c r="AD213" s="325">
        <f t="shared" si="235"/>
        <v>122.75</v>
      </c>
      <c r="AE213" s="339">
        <f t="shared" si="236"/>
        <v>124.16666666666667</v>
      </c>
      <c r="AF213" s="325">
        <f t="shared" si="237"/>
        <v>121.75</v>
      </c>
      <c r="AG213" s="338">
        <f t="shared" si="238"/>
        <v>-8.3333333333333329E-2</v>
      </c>
    </row>
    <row r="214" spans="1:47">
      <c r="A214" s="658"/>
      <c r="B214" s="333" t="s">
        <v>964</v>
      </c>
      <c r="C214" s="333">
        <v>114</v>
      </c>
      <c r="D214" s="333">
        <v>6</v>
      </c>
      <c r="E214" s="342">
        <v>0</v>
      </c>
      <c r="G214" s="333" t="s">
        <v>888</v>
      </c>
      <c r="H214" s="333">
        <v>10</v>
      </c>
      <c r="I214" s="325">
        <f t="shared" si="222"/>
        <v>124</v>
      </c>
      <c r="L214" s="646">
        <v>31956</v>
      </c>
      <c r="N214" s="328">
        <f t="shared" si="223"/>
        <v>31956</v>
      </c>
      <c r="O214" s="328">
        <f t="shared" si="224"/>
        <v>266.3</v>
      </c>
      <c r="P214" s="328">
        <f t="shared" si="225"/>
        <v>3195.6000000000004</v>
      </c>
      <c r="Q214" s="325">
        <f t="shared" si="226"/>
        <v>0</v>
      </c>
      <c r="R214" s="328">
        <f t="shared" si="227"/>
        <v>3195.6000000000004</v>
      </c>
      <c r="S214" s="340">
        <v>1</v>
      </c>
      <c r="T214" s="328">
        <f t="shared" si="228"/>
        <v>3195.6000000000004</v>
      </c>
      <c r="V214" s="328">
        <f t="shared" si="229"/>
        <v>23434.399999999987</v>
      </c>
      <c r="W214" s="328">
        <f t="shared" si="230"/>
        <v>23434.399999999987</v>
      </c>
      <c r="X214" s="340">
        <v>1</v>
      </c>
      <c r="Y214" s="328">
        <f t="shared" si="231"/>
        <v>23434.399999999987</v>
      </c>
      <c r="Z214" s="328">
        <f t="shared" si="232"/>
        <v>26629.999999999985</v>
      </c>
      <c r="AA214" s="328">
        <f t="shared" si="233"/>
        <v>6923.8000000000138</v>
      </c>
      <c r="AB214" s="328">
        <f t="shared" si="239"/>
        <v>5326.0000000000146</v>
      </c>
      <c r="AC214" s="339">
        <f t="shared" si="234"/>
        <v>114.41666666666667</v>
      </c>
      <c r="AD214" s="325">
        <f t="shared" si="235"/>
        <v>122.75</v>
      </c>
      <c r="AE214" s="339">
        <f t="shared" si="236"/>
        <v>124.41666666666667</v>
      </c>
      <c r="AF214" s="325">
        <f t="shared" si="237"/>
        <v>121.75</v>
      </c>
      <c r="AG214" s="338">
        <f t="shared" si="238"/>
        <v>-8.3333333333333329E-2</v>
      </c>
    </row>
    <row r="215" spans="1:47">
      <c r="A215" s="658"/>
      <c r="B215" s="333" t="s">
        <v>963</v>
      </c>
      <c r="C215" s="333">
        <v>114</v>
      </c>
      <c r="D215" s="333">
        <v>6</v>
      </c>
      <c r="E215" s="342">
        <v>0</v>
      </c>
      <c r="G215" s="333" t="s">
        <v>888</v>
      </c>
      <c r="H215" s="333">
        <v>10</v>
      </c>
      <c r="I215" s="325">
        <f t="shared" si="222"/>
        <v>124</v>
      </c>
      <c r="L215" s="646">
        <v>7000</v>
      </c>
      <c r="N215" s="328">
        <f t="shared" si="223"/>
        <v>7000</v>
      </c>
      <c r="O215" s="328">
        <f t="shared" si="224"/>
        <v>58.333333333333336</v>
      </c>
      <c r="P215" s="328">
        <f t="shared" si="225"/>
        <v>700</v>
      </c>
      <c r="Q215" s="325">
        <f t="shared" si="226"/>
        <v>0</v>
      </c>
      <c r="R215" s="328">
        <f t="shared" si="227"/>
        <v>700</v>
      </c>
      <c r="S215" s="340">
        <v>1</v>
      </c>
      <c r="T215" s="328">
        <f t="shared" si="228"/>
        <v>700</v>
      </c>
      <c r="V215" s="328">
        <f t="shared" si="229"/>
        <v>5133.3333333333303</v>
      </c>
      <c r="W215" s="328">
        <f t="shared" si="230"/>
        <v>5133.3333333333303</v>
      </c>
      <c r="X215" s="340">
        <v>1</v>
      </c>
      <c r="Y215" s="328">
        <f t="shared" si="231"/>
        <v>5133.3333333333303</v>
      </c>
      <c r="Z215" s="328">
        <f t="shared" si="232"/>
        <v>5833.3333333333303</v>
      </c>
      <c r="AA215" s="328">
        <f t="shared" si="233"/>
        <v>1516.6666666666697</v>
      </c>
      <c r="AB215" s="328">
        <f t="shared" si="239"/>
        <v>1166.6666666666697</v>
      </c>
      <c r="AC215" s="339">
        <f t="shared" si="234"/>
        <v>114.41666666666667</v>
      </c>
      <c r="AD215" s="325">
        <f t="shared" si="235"/>
        <v>122.75</v>
      </c>
      <c r="AE215" s="339">
        <f t="shared" si="236"/>
        <v>124.41666666666667</v>
      </c>
      <c r="AF215" s="325">
        <f t="shared" si="237"/>
        <v>121.75</v>
      </c>
      <c r="AG215" s="338">
        <f t="shared" si="238"/>
        <v>-8.3333333333333329E-2</v>
      </c>
    </row>
    <row r="216" spans="1:47">
      <c r="A216" s="658"/>
      <c r="B216" s="333" t="s">
        <v>962</v>
      </c>
      <c r="C216" s="333">
        <v>114</v>
      </c>
      <c r="D216" s="333">
        <v>6</v>
      </c>
      <c r="E216" s="342">
        <v>0</v>
      </c>
      <c r="G216" s="333" t="s">
        <v>888</v>
      </c>
      <c r="H216" s="333">
        <v>10</v>
      </c>
      <c r="I216" s="325">
        <f t="shared" si="222"/>
        <v>124</v>
      </c>
      <c r="L216" s="646">
        <v>12211</v>
      </c>
      <c r="N216" s="328">
        <f t="shared" si="223"/>
        <v>12211</v>
      </c>
      <c r="O216" s="328">
        <f t="shared" si="224"/>
        <v>101.75833333333333</v>
      </c>
      <c r="P216" s="328">
        <f t="shared" si="225"/>
        <v>1221.0999999999999</v>
      </c>
      <c r="Q216" s="325">
        <f t="shared" si="226"/>
        <v>0</v>
      </c>
      <c r="R216" s="328">
        <f t="shared" si="227"/>
        <v>1221.0999999999999</v>
      </c>
      <c r="S216" s="340">
        <v>1</v>
      </c>
      <c r="T216" s="328">
        <f t="shared" si="228"/>
        <v>1221.0999999999999</v>
      </c>
      <c r="V216" s="328">
        <f t="shared" si="229"/>
        <v>8954.7333333333263</v>
      </c>
      <c r="W216" s="328">
        <f t="shared" si="230"/>
        <v>8954.7333333333263</v>
      </c>
      <c r="X216" s="340">
        <v>1</v>
      </c>
      <c r="Y216" s="328">
        <f t="shared" si="231"/>
        <v>8954.7333333333263</v>
      </c>
      <c r="Z216" s="328">
        <f t="shared" si="232"/>
        <v>10175.833333333327</v>
      </c>
      <c r="AA216" s="328">
        <f t="shared" si="233"/>
        <v>2645.7166666666735</v>
      </c>
      <c r="AB216" s="328">
        <f t="shared" si="239"/>
        <v>2035.1666666666733</v>
      </c>
      <c r="AC216" s="339">
        <f t="shared" si="234"/>
        <v>114.41666666666667</v>
      </c>
      <c r="AD216" s="325">
        <f t="shared" si="235"/>
        <v>122.75</v>
      </c>
      <c r="AE216" s="339">
        <f t="shared" si="236"/>
        <v>124.41666666666667</v>
      </c>
      <c r="AF216" s="325">
        <f t="shared" si="237"/>
        <v>121.75</v>
      </c>
      <c r="AG216" s="338">
        <f t="shared" si="238"/>
        <v>-8.3333333333333329E-2</v>
      </c>
    </row>
    <row r="217" spans="1:47">
      <c r="A217" s="658"/>
      <c r="B217" s="333" t="s">
        <v>961</v>
      </c>
      <c r="C217" s="333">
        <v>114</v>
      </c>
      <c r="D217" s="333">
        <v>11</v>
      </c>
      <c r="E217" s="342">
        <v>0</v>
      </c>
      <c r="G217" s="333" t="s">
        <v>888</v>
      </c>
      <c r="H217" s="333">
        <v>10</v>
      </c>
      <c r="I217" s="325">
        <f t="shared" si="222"/>
        <v>124</v>
      </c>
      <c r="L217" s="646">
        <v>8576</v>
      </c>
      <c r="N217" s="328">
        <f t="shared" si="223"/>
        <v>8576</v>
      </c>
      <c r="O217" s="328">
        <f t="shared" si="224"/>
        <v>71.466666666666669</v>
      </c>
      <c r="P217" s="328">
        <f t="shared" si="225"/>
        <v>857.6</v>
      </c>
      <c r="Q217" s="325">
        <f t="shared" si="226"/>
        <v>0</v>
      </c>
      <c r="R217" s="328">
        <f t="shared" si="227"/>
        <v>857.6</v>
      </c>
      <c r="S217" s="340">
        <v>1</v>
      </c>
      <c r="T217" s="328">
        <f t="shared" si="228"/>
        <v>857.6</v>
      </c>
      <c r="V217" s="328">
        <f t="shared" si="229"/>
        <v>5931.7333333333372</v>
      </c>
      <c r="W217" s="328">
        <f t="shared" si="230"/>
        <v>5931.7333333333372</v>
      </c>
      <c r="X217" s="340">
        <v>1</v>
      </c>
      <c r="Y217" s="328">
        <f t="shared" si="231"/>
        <v>5931.7333333333372</v>
      </c>
      <c r="Z217" s="328">
        <f t="shared" si="232"/>
        <v>6789.3333333333376</v>
      </c>
      <c r="AA217" s="328">
        <f t="shared" si="233"/>
        <v>2215.4666666666626</v>
      </c>
      <c r="AB217" s="328">
        <f t="shared" si="239"/>
        <v>1786.6666666666624</v>
      </c>
      <c r="AC217" s="339">
        <f t="shared" si="234"/>
        <v>114.83333333333333</v>
      </c>
      <c r="AD217" s="325">
        <f t="shared" si="235"/>
        <v>122.75</v>
      </c>
      <c r="AE217" s="339">
        <f t="shared" si="236"/>
        <v>124.83333333333333</v>
      </c>
      <c r="AF217" s="325">
        <f t="shared" si="237"/>
        <v>121.75</v>
      </c>
      <c r="AG217" s="338">
        <f t="shared" si="238"/>
        <v>-8.3333333333333329E-2</v>
      </c>
    </row>
    <row r="218" spans="1:47">
      <c r="A218" s="658"/>
      <c r="B218" s="333" t="s">
        <v>958</v>
      </c>
      <c r="C218" s="333">
        <v>115</v>
      </c>
      <c r="D218" s="333">
        <v>5</v>
      </c>
      <c r="E218" s="342">
        <v>0</v>
      </c>
      <c r="G218" s="333" t="s">
        <v>888</v>
      </c>
      <c r="H218" s="333">
        <v>10</v>
      </c>
      <c r="I218" s="325">
        <f t="shared" si="222"/>
        <v>125</v>
      </c>
      <c r="L218" s="646">
        <v>5557</v>
      </c>
      <c r="N218" s="328">
        <f t="shared" si="223"/>
        <v>5557</v>
      </c>
      <c r="O218" s="328">
        <f t="shared" si="224"/>
        <v>46.308333333333337</v>
      </c>
      <c r="P218" s="328">
        <f t="shared" si="225"/>
        <v>555.70000000000005</v>
      </c>
      <c r="Q218" s="325">
        <f t="shared" si="226"/>
        <v>0</v>
      </c>
      <c r="R218" s="328">
        <f t="shared" si="227"/>
        <v>555.70000000000005</v>
      </c>
      <c r="S218" s="340">
        <v>1</v>
      </c>
      <c r="T218" s="328">
        <f t="shared" si="228"/>
        <v>555.70000000000005</v>
      </c>
      <c r="V218" s="328">
        <f t="shared" si="229"/>
        <v>3565.7416666666695</v>
      </c>
      <c r="W218" s="328">
        <f t="shared" si="230"/>
        <v>3565.7416666666695</v>
      </c>
      <c r="X218" s="340">
        <v>1</v>
      </c>
      <c r="Y218" s="328">
        <f t="shared" si="231"/>
        <v>3565.7416666666695</v>
      </c>
      <c r="Z218" s="328">
        <f t="shared" si="232"/>
        <v>4121.4416666666693</v>
      </c>
      <c r="AA218" s="328">
        <f t="shared" si="233"/>
        <v>1713.4083333333306</v>
      </c>
      <c r="AB218" s="328">
        <f t="shared" si="239"/>
        <v>1435.5583333333307</v>
      </c>
      <c r="AC218" s="339">
        <f t="shared" si="234"/>
        <v>115.33333333333333</v>
      </c>
      <c r="AD218" s="325">
        <f t="shared" si="235"/>
        <v>122.75</v>
      </c>
      <c r="AE218" s="339">
        <f t="shared" si="236"/>
        <v>125.33333333333333</v>
      </c>
      <c r="AF218" s="325">
        <f t="shared" si="237"/>
        <v>121.75</v>
      </c>
      <c r="AG218" s="338">
        <f t="shared" si="238"/>
        <v>-8.3333333333333329E-2</v>
      </c>
    </row>
    <row r="219" spans="1:47" s="344" customFormat="1">
      <c r="A219" s="698"/>
      <c r="B219" s="349" t="s">
        <v>957</v>
      </c>
      <c r="C219" s="349">
        <v>115</v>
      </c>
      <c r="D219" s="349">
        <v>5</v>
      </c>
      <c r="E219" s="350">
        <v>0</v>
      </c>
      <c r="G219" s="349" t="s">
        <v>888</v>
      </c>
      <c r="H219" s="349">
        <v>10</v>
      </c>
      <c r="I219" s="344">
        <f t="shared" si="222"/>
        <v>125</v>
      </c>
      <c r="L219" s="711">
        <v>5927</v>
      </c>
      <c r="N219" s="347">
        <f t="shared" si="223"/>
        <v>5927</v>
      </c>
      <c r="O219" s="347">
        <f t="shared" si="224"/>
        <v>49.391666666666673</v>
      </c>
      <c r="P219" s="347">
        <f t="shared" si="225"/>
        <v>592.70000000000005</v>
      </c>
      <c r="Q219" s="344">
        <f t="shared" si="226"/>
        <v>0</v>
      </c>
      <c r="R219" s="347">
        <f t="shared" si="227"/>
        <v>592.70000000000005</v>
      </c>
      <c r="S219" s="348">
        <v>1</v>
      </c>
      <c r="T219" s="347">
        <f t="shared" si="228"/>
        <v>592.70000000000005</v>
      </c>
      <c r="V219" s="347">
        <f t="shared" si="229"/>
        <v>3803.1583333333365</v>
      </c>
      <c r="W219" s="347">
        <f t="shared" si="230"/>
        <v>3803.1583333333365</v>
      </c>
      <c r="X219" s="348">
        <v>1</v>
      </c>
      <c r="Y219" s="347">
        <f t="shared" si="231"/>
        <v>3803.1583333333365</v>
      </c>
      <c r="Z219" s="347">
        <f t="shared" si="232"/>
        <v>4395.8583333333363</v>
      </c>
      <c r="AA219" s="347">
        <f t="shared" si="233"/>
        <v>1827.4916666666636</v>
      </c>
      <c r="AB219" s="328">
        <f t="shared" si="239"/>
        <v>1531.1416666666637</v>
      </c>
      <c r="AC219" s="346">
        <f t="shared" si="234"/>
        <v>115.33333333333333</v>
      </c>
      <c r="AD219" s="344">
        <f t="shared" si="235"/>
        <v>122.75</v>
      </c>
      <c r="AE219" s="346">
        <f t="shared" si="236"/>
        <v>125.33333333333333</v>
      </c>
      <c r="AF219" s="344">
        <f t="shared" si="237"/>
        <v>121.75</v>
      </c>
      <c r="AG219" s="345">
        <f t="shared" si="238"/>
        <v>-8.3333333333333329E-2</v>
      </c>
      <c r="AM219" s="691"/>
      <c r="AN219" s="691"/>
      <c r="AO219" s="691"/>
      <c r="AP219" s="691"/>
      <c r="AQ219" s="691"/>
      <c r="AU219" s="691"/>
    </row>
    <row r="220" spans="1:47" s="337" customFormat="1">
      <c r="A220" s="699"/>
      <c r="B220" s="333" t="s">
        <v>960</v>
      </c>
      <c r="C220" s="333">
        <v>115</v>
      </c>
      <c r="D220" s="333">
        <v>5</v>
      </c>
      <c r="E220" s="342">
        <v>0</v>
      </c>
      <c r="F220" s="325"/>
      <c r="G220" s="333" t="s">
        <v>888</v>
      </c>
      <c r="H220" s="333">
        <v>10</v>
      </c>
      <c r="I220" s="325">
        <f t="shared" si="222"/>
        <v>125</v>
      </c>
      <c r="J220" s="325"/>
      <c r="K220" s="325"/>
      <c r="L220" s="646">
        <v>6468</v>
      </c>
      <c r="M220" s="325"/>
      <c r="N220" s="328">
        <f t="shared" si="223"/>
        <v>6468</v>
      </c>
      <c r="O220" s="328">
        <f t="shared" si="224"/>
        <v>53.9</v>
      </c>
      <c r="P220" s="328">
        <f t="shared" si="225"/>
        <v>646.79999999999995</v>
      </c>
      <c r="Q220" s="325">
        <f t="shared" si="226"/>
        <v>0</v>
      </c>
      <c r="R220" s="328">
        <f t="shared" si="227"/>
        <v>646.79999999999995</v>
      </c>
      <c r="S220" s="340">
        <v>1</v>
      </c>
      <c r="T220" s="328">
        <f t="shared" si="228"/>
        <v>646.79999999999995</v>
      </c>
      <c r="U220" s="325"/>
      <c r="V220" s="328">
        <f t="shared" si="229"/>
        <v>4150.3000000000029</v>
      </c>
      <c r="W220" s="328">
        <f t="shared" si="230"/>
        <v>4150.3000000000029</v>
      </c>
      <c r="X220" s="340">
        <v>1</v>
      </c>
      <c r="Y220" s="328">
        <f t="shared" si="231"/>
        <v>4150.3000000000029</v>
      </c>
      <c r="Z220" s="328">
        <f t="shared" si="232"/>
        <v>4797.1000000000031</v>
      </c>
      <c r="AA220" s="328">
        <f t="shared" si="233"/>
        <v>1994.299999999997</v>
      </c>
      <c r="AB220" s="328">
        <f t="shared" si="239"/>
        <v>1670.8999999999969</v>
      </c>
      <c r="AC220" s="339">
        <f t="shared" si="234"/>
        <v>115.33333333333333</v>
      </c>
      <c r="AD220" s="325">
        <f t="shared" si="235"/>
        <v>122.75</v>
      </c>
      <c r="AE220" s="339">
        <f t="shared" si="236"/>
        <v>125.33333333333333</v>
      </c>
      <c r="AF220" s="325">
        <f t="shared" si="237"/>
        <v>121.75</v>
      </c>
      <c r="AG220" s="338">
        <f t="shared" si="238"/>
        <v>-8.3333333333333329E-2</v>
      </c>
      <c r="AH220" s="325"/>
      <c r="AI220" s="325"/>
      <c r="AJ220" s="325"/>
      <c r="AK220" s="325"/>
      <c r="AL220" s="325"/>
      <c r="AM220" s="325"/>
      <c r="AN220" s="325"/>
      <c r="AO220" s="325"/>
      <c r="AP220" s="325"/>
      <c r="AQ220" s="325"/>
      <c r="AR220" s="325"/>
    </row>
    <row r="221" spans="1:47" s="337" customFormat="1">
      <c r="A221" s="699"/>
      <c r="B221" s="333" t="s">
        <v>959</v>
      </c>
      <c r="C221" s="333">
        <v>117</v>
      </c>
      <c r="D221" s="333">
        <v>5</v>
      </c>
      <c r="E221" s="342">
        <v>0</v>
      </c>
      <c r="F221" s="325"/>
      <c r="G221" s="333" t="s">
        <v>888</v>
      </c>
      <c r="H221" s="333">
        <v>10</v>
      </c>
      <c r="I221" s="325">
        <f t="shared" si="222"/>
        <v>127</v>
      </c>
      <c r="J221" s="325"/>
      <c r="K221" s="325"/>
      <c r="L221" s="646">
        <v>8542</v>
      </c>
      <c r="M221" s="325"/>
      <c r="N221" s="328">
        <f t="shared" si="223"/>
        <v>8542</v>
      </c>
      <c r="O221" s="328">
        <f t="shared" si="224"/>
        <v>71.183333333333337</v>
      </c>
      <c r="P221" s="328">
        <f t="shared" si="225"/>
        <v>854.2</v>
      </c>
      <c r="Q221" s="325">
        <f t="shared" si="226"/>
        <v>0</v>
      </c>
      <c r="R221" s="328">
        <f t="shared" si="227"/>
        <v>854.2</v>
      </c>
      <c r="S221" s="340">
        <v>1</v>
      </c>
      <c r="T221" s="328">
        <f t="shared" si="228"/>
        <v>854.2</v>
      </c>
      <c r="U221" s="325"/>
      <c r="V221" s="328">
        <f t="shared" si="229"/>
        <v>3772.7166666666708</v>
      </c>
      <c r="W221" s="328">
        <f t="shared" si="230"/>
        <v>3772.7166666666708</v>
      </c>
      <c r="X221" s="340">
        <v>1</v>
      </c>
      <c r="Y221" s="328">
        <f t="shared" si="231"/>
        <v>3772.7166666666708</v>
      </c>
      <c r="Z221" s="328">
        <f t="shared" si="232"/>
        <v>4626.9166666666706</v>
      </c>
      <c r="AA221" s="328">
        <f t="shared" si="233"/>
        <v>4342.1833333333288</v>
      </c>
      <c r="AB221" s="328">
        <f t="shared" si="239"/>
        <v>3915.0833333333294</v>
      </c>
      <c r="AC221" s="339">
        <f t="shared" si="234"/>
        <v>117.33333333333333</v>
      </c>
      <c r="AD221" s="325">
        <f t="shared" si="235"/>
        <v>122.75</v>
      </c>
      <c r="AE221" s="339">
        <f t="shared" si="236"/>
        <v>127.33333333333333</v>
      </c>
      <c r="AF221" s="325">
        <f t="shared" si="237"/>
        <v>121.75</v>
      </c>
      <c r="AG221" s="338">
        <f t="shared" si="238"/>
        <v>-8.3333333333333329E-2</v>
      </c>
      <c r="AH221" s="325"/>
      <c r="AI221" s="325"/>
      <c r="AJ221" s="325"/>
      <c r="AK221" s="325"/>
      <c r="AL221" s="325"/>
      <c r="AM221" s="325"/>
      <c r="AN221" s="325"/>
      <c r="AO221" s="325"/>
      <c r="AP221" s="325"/>
      <c r="AQ221" s="325"/>
      <c r="AR221" s="325"/>
    </row>
    <row r="222" spans="1:47" s="337" customFormat="1">
      <c r="A222" s="699"/>
      <c r="B222" s="333" t="s">
        <v>958</v>
      </c>
      <c r="C222" s="333">
        <v>118</v>
      </c>
      <c r="D222" s="333">
        <v>3</v>
      </c>
      <c r="E222" s="342">
        <v>0</v>
      </c>
      <c r="F222" s="325"/>
      <c r="G222" s="333" t="s">
        <v>888</v>
      </c>
      <c r="H222" s="333">
        <v>10</v>
      </c>
      <c r="I222" s="325">
        <f t="shared" si="222"/>
        <v>128</v>
      </c>
      <c r="J222" s="325"/>
      <c r="K222" s="325"/>
      <c r="L222" s="646">
        <v>4997.83</v>
      </c>
      <c r="M222" s="325"/>
      <c r="N222" s="328">
        <f t="shared" si="223"/>
        <v>4997.83</v>
      </c>
      <c r="O222" s="328">
        <f t="shared" si="224"/>
        <v>41.648583333333335</v>
      </c>
      <c r="P222" s="328">
        <f t="shared" si="225"/>
        <v>499.78300000000002</v>
      </c>
      <c r="Q222" s="325">
        <f t="shared" si="226"/>
        <v>0</v>
      </c>
      <c r="R222" s="328">
        <f t="shared" si="227"/>
        <v>499.78300000000002</v>
      </c>
      <c r="S222" s="340">
        <v>1</v>
      </c>
      <c r="T222" s="328">
        <f t="shared" si="228"/>
        <v>499.78300000000002</v>
      </c>
      <c r="U222" s="325"/>
      <c r="V222" s="328">
        <f t="shared" si="229"/>
        <v>1790.889083333331</v>
      </c>
      <c r="W222" s="328">
        <f t="shared" si="230"/>
        <v>1790.889083333331</v>
      </c>
      <c r="X222" s="340">
        <v>1</v>
      </c>
      <c r="Y222" s="328">
        <f t="shared" si="231"/>
        <v>1790.889083333331</v>
      </c>
      <c r="Z222" s="328">
        <f t="shared" si="232"/>
        <v>2290.6720833333311</v>
      </c>
      <c r="AA222" s="328">
        <f t="shared" si="233"/>
        <v>2957.049416666669</v>
      </c>
      <c r="AB222" s="328">
        <f t="shared" si="239"/>
        <v>2707.1579166666688</v>
      </c>
      <c r="AC222" s="339">
        <f t="shared" si="234"/>
        <v>118.16666666666667</v>
      </c>
      <c r="AD222" s="325">
        <f t="shared" si="235"/>
        <v>122.75</v>
      </c>
      <c r="AE222" s="339">
        <f t="shared" si="236"/>
        <v>128.16666666666666</v>
      </c>
      <c r="AF222" s="325">
        <f t="shared" si="237"/>
        <v>121.75</v>
      </c>
      <c r="AG222" s="338">
        <f t="shared" si="238"/>
        <v>-8.3333333333333329E-2</v>
      </c>
      <c r="AH222" s="325"/>
      <c r="AI222" s="325"/>
      <c r="AJ222" s="325"/>
      <c r="AK222" s="325"/>
      <c r="AL222" s="325"/>
      <c r="AM222" s="325"/>
      <c r="AN222" s="325"/>
      <c r="AO222" s="325"/>
      <c r="AP222" s="325"/>
      <c r="AQ222" s="325"/>
      <c r="AR222" s="325"/>
    </row>
    <row r="223" spans="1:47" s="337" customFormat="1">
      <c r="A223" s="699"/>
      <c r="B223" s="333" t="s">
        <v>957</v>
      </c>
      <c r="C223" s="333">
        <v>118</v>
      </c>
      <c r="D223" s="333">
        <v>5</v>
      </c>
      <c r="E223" s="342">
        <v>0</v>
      </c>
      <c r="F223" s="325"/>
      <c r="G223" s="333" t="s">
        <v>888</v>
      </c>
      <c r="H223" s="333">
        <v>10</v>
      </c>
      <c r="I223" s="325">
        <f t="shared" si="222"/>
        <v>128</v>
      </c>
      <c r="J223" s="325"/>
      <c r="K223" s="325"/>
      <c r="L223" s="646">
        <v>5434</v>
      </c>
      <c r="M223" s="325"/>
      <c r="N223" s="328">
        <f t="shared" si="223"/>
        <v>5434</v>
      </c>
      <c r="O223" s="328">
        <f t="shared" si="224"/>
        <v>45.283333333333331</v>
      </c>
      <c r="P223" s="328">
        <f t="shared" si="225"/>
        <v>543.4</v>
      </c>
      <c r="Q223" s="325">
        <f t="shared" si="226"/>
        <v>0</v>
      </c>
      <c r="R223" s="328">
        <f t="shared" si="227"/>
        <v>543.4</v>
      </c>
      <c r="S223" s="340">
        <v>1</v>
      </c>
      <c r="T223" s="328">
        <f t="shared" si="228"/>
        <v>543.4</v>
      </c>
      <c r="U223" s="325"/>
      <c r="V223" s="328">
        <f t="shared" si="229"/>
        <v>1856.6166666666691</v>
      </c>
      <c r="W223" s="328">
        <f t="shared" si="230"/>
        <v>1856.6166666666691</v>
      </c>
      <c r="X223" s="340">
        <v>1</v>
      </c>
      <c r="Y223" s="328">
        <f t="shared" si="231"/>
        <v>1856.6166666666691</v>
      </c>
      <c r="Z223" s="328">
        <f t="shared" si="232"/>
        <v>2400.0166666666692</v>
      </c>
      <c r="AA223" s="328">
        <f t="shared" si="233"/>
        <v>3305.6833333333307</v>
      </c>
      <c r="AB223" s="328">
        <f t="shared" si="239"/>
        <v>3033.9833333333308</v>
      </c>
      <c r="AC223" s="339">
        <f t="shared" si="234"/>
        <v>118.33333333333333</v>
      </c>
      <c r="AD223" s="325">
        <f t="shared" si="235"/>
        <v>122.75</v>
      </c>
      <c r="AE223" s="339">
        <f t="shared" si="236"/>
        <v>128.33333333333334</v>
      </c>
      <c r="AF223" s="325">
        <f t="shared" si="237"/>
        <v>121.75</v>
      </c>
      <c r="AG223" s="338">
        <f t="shared" si="238"/>
        <v>-8.3333333333333329E-2</v>
      </c>
      <c r="AH223" s="325"/>
      <c r="AI223" s="325"/>
      <c r="AJ223" s="325"/>
      <c r="AK223" s="325"/>
      <c r="AL223" s="325"/>
      <c r="AM223" s="325"/>
      <c r="AN223" s="325"/>
      <c r="AO223" s="325"/>
      <c r="AP223" s="325"/>
      <c r="AQ223" s="325"/>
      <c r="AR223" s="325"/>
    </row>
    <row r="224" spans="1:47" s="337" customFormat="1">
      <c r="A224" s="699"/>
      <c r="B224" s="358" t="s">
        <v>956</v>
      </c>
      <c r="C224" s="333">
        <v>118</v>
      </c>
      <c r="D224" s="333">
        <v>5</v>
      </c>
      <c r="E224" s="342">
        <v>0</v>
      </c>
      <c r="F224" s="325"/>
      <c r="G224" s="333" t="s">
        <v>888</v>
      </c>
      <c r="H224" s="333">
        <v>10</v>
      </c>
      <c r="I224" s="325">
        <f t="shared" si="222"/>
        <v>128</v>
      </c>
      <c r="J224" s="325"/>
      <c r="K224" s="325"/>
      <c r="L224" s="646">
        <v>12251</v>
      </c>
      <c r="M224" s="325"/>
      <c r="N224" s="328">
        <f t="shared" si="223"/>
        <v>12251</v>
      </c>
      <c r="O224" s="328">
        <f t="shared" si="224"/>
        <v>102.09166666666665</v>
      </c>
      <c r="P224" s="328">
        <f t="shared" si="225"/>
        <v>1225.0999999999999</v>
      </c>
      <c r="Q224" s="325">
        <f t="shared" si="226"/>
        <v>0</v>
      </c>
      <c r="R224" s="328">
        <f t="shared" si="227"/>
        <v>1225.0999999999999</v>
      </c>
      <c r="S224" s="340">
        <v>1</v>
      </c>
      <c r="T224" s="328">
        <f t="shared" si="228"/>
        <v>1225.0999999999999</v>
      </c>
      <c r="U224" s="325"/>
      <c r="V224" s="328">
        <f t="shared" si="229"/>
        <v>4185.7583333333387</v>
      </c>
      <c r="W224" s="328">
        <f t="shared" si="230"/>
        <v>4185.7583333333387</v>
      </c>
      <c r="X224" s="340">
        <v>1</v>
      </c>
      <c r="Y224" s="328">
        <f t="shared" si="231"/>
        <v>4185.7583333333387</v>
      </c>
      <c r="Z224" s="328">
        <f t="shared" si="232"/>
        <v>5410.858333333339</v>
      </c>
      <c r="AA224" s="328">
        <f t="shared" si="233"/>
        <v>7452.6916666666611</v>
      </c>
      <c r="AB224" s="328">
        <f t="shared" si="239"/>
        <v>6840.141666666661</v>
      </c>
      <c r="AC224" s="339">
        <f t="shared" si="234"/>
        <v>118.33333333333333</v>
      </c>
      <c r="AD224" s="325">
        <f t="shared" si="235"/>
        <v>122.75</v>
      </c>
      <c r="AE224" s="339">
        <f t="shared" si="236"/>
        <v>128.33333333333334</v>
      </c>
      <c r="AF224" s="325">
        <f t="shared" si="237"/>
        <v>121.75</v>
      </c>
      <c r="AG224" s="338">
        <f t="shared" si="238"/>
        <v>-8.3333333333333329E-2</v>
      </c>
      <c r="AH224" s="325"/>
      <c r="AI224" s="325"/>
      <c r="AJ224" s="325"/>
      <c r="AK224" s="325"/>
      <c r="AL224" s="325"/>
      <c r="AM224" s="325"/>
      <c r="AN224" s="325"/>
      <c r="AO224" s="325"/>
      <c r="AP224" s="325"/>
      <c r="AQ224" s="325"/>
      <c r="AR224" s="325"/>
    </row>
    <row r="225" spans="1:44" s="337" customFormat="1">
      <c r="A225" s="699"/>
      <c r="B225" s="333" t="s">
        <v>955</v>
      </c>
      <c r="C225" s="333">
        <v>118</v>
      </c>
      <c r="D225" s="333">
        <v>5</v>
      </c>
      <c r="E225" s="342">
        <v>0</v>
      </c>
      <c r="F225" s="325"/>
      <c r="G225" s="333" t="s">
        <v>888</v>
      </c>
      <c r="H225" s="333">
        <v>10</v>
      </c>
      <c r="I225" s="325">
        <f t="shared" si="222"/>
        <v>128</v>
      </c>
      <c r="J225" s="325"/>
      <c r="K225" s="325"/>
      <c r="L225" s="646">
        <v>4958</v>
      </c>
      <c r="M225" s="325"/>
      <c r="N225" s="328">
        <f t="shared" si="223"/>
        <v>4958</v>
      </c>
      <c r="O225" s="328">
        <f t="shared" si="224"/>
        <v>41.31666666666667</v>
      </c>
      <c r="P225" s="328">
        <f t="shared" si="225"/>
        <v>495.80000000000007</v>
      </c>
      <c r="Q225" s="325">
        <f t="shared" si="226"/>
        <v>0</v>
      </c>
      <c r="R225" s="328">
        <f t="shared" si="227"/>
        <v>495.80000000000007</v>
      </c>
      <c r="S225" s="340">
        <v>1</v>
      </c>
      <c r="T225" s="328">
        <f t="shared" si="228"/>
        <v>495.80000000000007</v>
      </c>
      <c r="U225" s="325"/>
      <c r="V225" s="328">
        <f t="shared" si="229"/>
        <v>1693.9833333333358</v>
      </c>
      <c r="W225" s="328">
        <f t="shared" si="230"/>
        <v>1693.9833333333358</v>
      </c>
      <c r="X225" s="340">
        <v>1</v>
      </c>
      <c r="Y225" s="328">
        <f t="shared" si="231"/>
        <v>1693.9833333333358</v>
      </c>
      <c r="Z225" s="328">
        <f t="shared" si="232"/>
        <v>2189.783333333336</v>
      </c>
      <c r="AA225" s="328">
        <f t="shared" si="233"/>
        <v>3016.1166666666641</v>
      </c>
      <c r="AB225" s="328">
        <f t="shared" si="239"/>
        <v>2768.216666666664</v>
      </c>
      <c r="AC225" s="339">
        <f t="shared" si="234"/>
        <v>118.33333333333333</v>
      </c>
      <c r="AD225" s="325">
        <f t="shared" si="235"/>
        <v>122.75</v>
      </c>
      <c r="AE225" s="339">
        <f t="shared" si="236"/>
        <v>128.33333333333334</v>
      </c>
      <c r="AF225" s="325">
        <f t="shared" si="237"/>
        <v>121.75</v>
      </c>
      <c r="AG225" s="338">
        <f t="shared" si="238"/>
        <v>-8.3333333333333329E-2</v>
      </c>
      <c r="AH225" s="325"/>
      <c r="AI225" s="325"/>
      <c r="AJ225" s="325"/>
      <c r="AK225" s="325"/>
      <c r="AL225" s="325"/>
      <c r="AM225" s="325"/>
      <c r="AN225" s="325"/>
      <c r="AO225" s="325"/>
      <c r="AP225" s="325"/>
      <c r="AQ225" s="325"/>
      <c r="AR225" s="325"/>
    </row>
    <row r="226" spans="1:44" s="337" customFormat="1">
      <c r="A226" s="699"/>
      <c r="B226" s="333" t="s">
        <v>954</v>
      </c>
      <c r="C226" s="333">
        <v>118</v>
      </c>
      <c r="D226" s="333">
        <v>5</v>
      </c>
      <c r="E226" s="342">
        <v>0</v>
      </c>
      <c r="F226" s="325"/>
      <c r="G226" s="333" t="s">
        <v>888</v>
      </c>
      <c r="H226" s="333">
        <v>10</v>
      </c>
      <c r="I226" s="325">
        <f t="shared" ref="I226:I230" si="240">C226+H226</f>
        <v>128</v>
      </c>
      <c r="J226" s="325"/>
      <c r="K226" s="325"/>
      <c r="L226" s="646">
        <v>11162</v>
      </c>
      <c r="M226" s="325"/>
      <c r="N226" s="328">
        <f t="shared" ref="N226:N230" si="241">L226-L226*E226</f>
        <v>11162</v>
      </c>
      <c r="O226" s="328">
        <f t="shared" ref="O226:O230" si="242">N226/H226/12</f>
        <v>93.016666666666666</v>
      </c>
      <c r="P226" s="328">
        <f t="shared" ref="P226:P230" si="243">IF(M226&gt;0,0,IF(OR(AC226&gt;AD226,AE226&lt;AF226),0,IF(AND(AE226&gt;=AF226,AE226&lt;=AD226),O226*((AE226-AF226)*12),IF(AND(AF226&lt;=AC226,AD226&gt;=AC226),((AD226-AC226)*12)*O226,IF(AE226&gt;AD226,12*O226,0)))))</f>
        <v>1116.2</v>
      </c>
      <c r="Q226" s="325">
        <f t="shared" ref="Q226:Q230" si="244">IF(M226=0,0,IF(AND(AG226&gt;=AF226,AG226&lt;=AE226),((AG226-AF226)*12)*O226,0))</f>
        <v>0</v>
      </c>
      <c r="R226" s="328">
        <f t="shared" ref="R226:R230" si="245">IF(Q226&gt;0,Q226,P226)</f>
        <v>1116.2</v>
      </c>
      <c r="S226" s="340">
        <v>1</v>
      </c>
      <c r="T226" s="328">
        <f t="shared" ref="T226:T230" si="246">S226*SUM(P226:Q226)</f>
        <v>1116.2</v>
      </c>
      <c r="U226" s="325"/>
      <c r="V226" s="328">
        <f t="shared" ref="V226:V230" si="247">IF(AC226&gt;AD226,0,IF(AE226&lt;AF226,N226,IF(AND(AE226&gt;=AF226,AE226&lt;=AD226),(N226-R226),IF(AND(AF226&lt;=AC226,AD226&gt;=AC226),0,IF(AE226&gt;AD226,((AF226-AC226)*12)*O226,0)))))</f>
        <v>3813.6833333333384</v>
      </c>
      <c r="W226" s="328">
        <f t="shared" ref="W226:W230" si="248">V226*S226</f>
        <v>3813.6833333333384</v>
      </c>
      <c r="X226" s="340">
        <v>1</v>
      </c>
      <c r="Y226" s="328">
        <f t="shared" ref="Y226:Y230" si="249">W226*X226</f>
        <v>3813.6833333333384</v>
      </c>
      <c r="Z226" s="328">
        <f t="shared" ref="Z226:Z230" si="250">IF(M226&gt;0,0,Y226+T226*X226)*X226</f>
        <v>4929.8833333333387</v>
      </c>
      <c r="AA226" s="328">
        <f t="shared" ref="AA226:AA230" si="251">IF(M226&gt;0,(L226-Y226)/2,IF(AC226&gt;=AF226,(((L226*S226)*X226)-Z226)/2,((((L226*S226)*X226)-Y226)+(((L226*S226)*X226)-Z226))/2))</f>
        <v>6790.2166666666617</v>
      </c>
      <c r="AB226" s="328">
        <f t="shared" ref="AB226:AB230" si="252">L226-Z226</f>
        <v>6232.1166666666613</v>
      </c>
      <c r="AC226" s="339">
        <f t="shared" si="234"/>
        <v>118.33333333333333</v>
      </c>
      <c r="AD226" s="325">
        <f t="shared" si="235"/>
        <v>122.75</v>
      </c>
      <c r="AE226" s="339">
        <f t="shared" si="236"/>
        <v>128.33333333333334</v>
      </c>
      <c r="AF226" s="325">
        <f t="shared" si="237"/>
        <v>121.75</v>
      </c>
      <c r="AG226" s="338">
        <f t="shared" si="238"/>
        <v>-8.3333333333333329E-2</v>
      </c>
      <c r="AH226" s="325"/>
      <c r="AI226" s="325"/>
      <c r="AJ226" s="325"/>
      <c r="AK226" s="325"/>
      <c r="AL226" s="325"/>
      <c r="AM226" s="325"/>
      <c r="AN226" s="325"/>
      <c r="AO226" s="325"/>
      <c r="AP226" s="325"/>
      <c r="AQ226" s="325"/>
      <c r="AR226" s="325"/>
    </row>
    <row r="227" spans="1:44" s="337" customFormat="1">
      <c r="A227" s="699"/>
      <c r="B227" s="333" t="s">
        <v>1388</v>
      </c>
      <c r="C227" s="333">
        <v>121</v>
      </c>
      <c r="D227" s="333">
        <v>5</v>
      </c>
      <c r="E227" s="342">
        <v>0</v>
      </c>
      <c r="F227" s="325"/>
      <c r="G227" s="333" t="s">
        <v>888</v>
      </c>
      <c r="H227" s="333">
        <v>10</v>
      </c>
      <c r="I227" s="325">
        <f t="shared" si="240"/>
        <v>131</v>
      </c>
      <c r="J227" s="325"/>
      <c r="K227" s="325"/>
      <c r="L227" s="646">
        <v>553</v>
      </c>
      <c r="M227" s="325"/>
      <c r="N227" s="328">
        <f t="shared" si="241"/>
        <v>553</v>
      </c>
      <c r="O227" s="328">
        <f t="shared" si="242"/>
        <v>4.6083333333333334</v>
      </c>
      <c r="P227" s="328">
        <f t="shared" si="243"/>
        <v>55.3</v>
      </c>
      <c r="Q227" s="325">
        <f t="shared" si="244"/>
        <v>0</v>
      </c>
      <c r="R227" s="328">
        <f t="shared" si="245"/>
        <v>55.3</v>
      </c>
      <c r="S227" s="340">
        <v>1</v>
      </c>
      <c r="T227" s="328">
        <f t="shared" si="246"/>
        <v>55.3</v>
      </c>
      <c r="U227" s="325"/>
      <c r="V227" s="328">
        <f t="shared" si="247"/>
        <v>23.041666666666927</v>
      </c>
      <c r="W227" s="328">
        <f t="shared" si="248"/>
        <v>23.041666666666927</v>
      </c>
      <c r="X227" s="340">
        <v>1</v>
      </c>
      <c r="Y227" s="328">
        <f t="shared" si="249"/>
        <v>23.041666666666927</v>
      </c>
      <c r="Z227" s="328">
        <f t="shared" si="250"/>
        <v>78.341666666666924</v>
      </c>
      <c r="AA227" s="328">
        <f t="shared" si="251"/>
        <v>502.30833333333305</v>
      </c>
      <c r="AB227" s="328">
        <f t="shared" si="252"/>
        <v>474.65833333333308</v>
      </c>
      <c r="AC227" s="339">
        <f t="shared" si="234"/>
        <v>121.33333333333333</v>
      </c>
      <c r="AD227" s="325">
        <f t="shared" si="235"/>
        <v>122.75</v>
      </c>
      <c r="AE227" s="339">
        <f t="shared" si="236"/>
        <v>131.33333333333334</v>
      </c>
      <c r="AF227" s="325">
        <f t="shared" si="237"/>
        <v>121.75</v>
      </c>
      <c r="AG227" s="338">
        <f t="shared" si="238"/>
        <v>-8.3333333333333329E-2</v>
      </c>
      <c r="AH227" s="325"/>
      <c r="AI227" s="325"/>
      <c r="AJ227" s="325"/>
      <c r="AK227" s="325"/>
      <c r="AL227" s="325"/>
      <c r="AM227" s="325"/>
      <c r="AN227" s="325"/>
      <c r="AO227" s="325"/>
      <c r="AP227" s="325"/>
      <c r="AQ227" s="325"/>
      <c r="AR227" s="325"/>
    </row>
    <row r="228" spans="1:44" s="337" customFormat="1">
      <c r="A228" s="699"/>
      <c r="B228" s="333" t="s">
        <v>1389</v>
      </c>
      <c r="C228" s="333">
        <v>121</v>
      </c>
      <c r="D228" s="333">
        <v>7</v>
      </c>
      <c r="E228" s="342">
        <v>0</v>
      </c>
      <c r="F228" s="325"/>
      <c r="G228" s="333" t="s">
        <v>888</v>
      </c>
      <c r="H228" s="333">
        <v>10</v>
      </c>
      <c r="I228" s="325">
        <f t="shared" ref="I228" si="253">C228+H228</f>
        <v>131</v>
      </c>
      <c r="J228" s="325"/>
      <c r="K228" s="325"/>
      <c r="L228" s="646">
        <v>2673</v>
      </c>
      <c r="M228" s="325"/>
      <c r="N228" s="328">
        <f t="shared" ref="N228" si="254">L228-L228*E228</f>
        <v>2673</v>
      </c>
      <c r="O228" s="328">
        <f t="shared" ref="O228" si="255">N228/H228/12</f>
        <v>22.275000000000002</v>
      </c>
      <c r="P228" s="328">
        <f t="shared" ref="P228" si="256">IF(M228&gt;0,0,IF(OR(AC228&gt;AD228,AE228&lt;AF228),0,IF(AND(AE228&gt;=AF228,AE228&lt;=AD228),O228*((AE228-AF228)*12),IF(AND(AF228&lt;=AC228,AD228&gt;=AC228),((AD228-AC228)*12)*O228,IF(AE228&gt;AD228,12*O228,0)))))</f>
        <v>267.3</v>
      </c>
      <c r="Q228" s="325">
        <f t="shared" ref="Q228" si="257">IF(M228=0,0,IF(AND(AG228&gt;=AF228,AG228&lt;=AE228),((AG228-AF228)*12)*O228,0))</f>
        <v>0</v>
      </c>
      <c r="R228" s="328">
        <f t="shared" ref="R228" si="258">IF(Q228&gt;0,Q228,P228)</f>
        <v>267.3</v>
      </c>
      <c r="S228" s="340">
        <v>1</v>
      </c>
      <c r="T228" s="328">
        <f t="shared" ref="T228" si="259">S228*SUM(P228:Q228)</f>
        <v>267.3</v>
      </c>
      <c r="U228" s="325"/>
      <c r="V228" s="328">
        <f t="shared" ref="V228" si="260">IF(AC228&gt;AD228,0,IF(AE228&lt;AF228,N228,IF(AND(AE228&gt;=AF228,AE228&lt;=AD228),(N228-R228),IF(AND(AF228&lt;=AC228,AD228&gt;=AC228),0,IF(AE228&gt;AD228,((AF228-AC228)*12)*O228,0)))))</f>
        <v>66.825000000000003</v>
      </c>
      <c r="W228" s="328">
        <f t="shared" ref="W228" si="261">V228*S228</f>
        <v>66.825000000000003</v>
      </c>
      <c r="X228" s="340">
        <v>1</v>
      </c>
      <c r="Y228" s="328">
        <f t="shared" ref="Y228" si="262">W228*X228</f>
        <v>66.825000000000003</v>
      </c>
      <c r="Z228" s="328">
        <f t="shared" ref="Z228" si="263">IF(M228&gt;0,0,Y228+T228*X228)*X228</f>
        <v>334.125</v>
      </c>
      <c r="AA228" s="328">
        <f t="shared" ref="AA228" si="264">IF(M228&gt;0,(L228-Y228)/2,IF(AC228&gt;=AF228,(((L228*S228)*X228)-Z228)/2,((((L228*S228)*X228)-Y228)+(((L228*S228)*X228)-Z228))/2))</f>
        <v>2472.5250000000001</v>
      </c>
      <c r="AB228" s="328">
        <f t="shared" ref="AB228" si="265">L228-Z228</f>
        <v>2338.875</v>
      </c>
      <c r="AC228" s="339">
        <f t="shared" si="234"/>
        <v>121.5</v>
      </c>
      <c r="AD228" s="325">
        <f t="shared" si="235"/>
        <v>122.75</v>
      </c>
      <c r="AE228" s="339">
        <f t="shared" si="236"/>
        <v>131.5</v>
      </c>
      <c r="AF228" s="325">
        <f t="shared" si="237"/>
        <v>121.75</v>
      </c>
      <c r="AG228" s="338">
        <f t="shared" si="238"/>
        <v>-8.3333333333333329E-2</v>
      </c>
      <c r="AH228" s="325"/>
      <c r="AI228" s="325"/>
      <c r="AJ228" s="325"/>
      <c r="AK228" s="325"/>
      <c r="AL228" s="325"/>
      <c r="AM228" s="325"/>
      <c r="AN228" s="325"/>
      <c r="AO228" s="325"/>
      <c r="AP228" s="325"/>
      <c r="AQ228" s="325"/>
      <c r="AR228" s="325"/>
    </row>
    <row r="229" spans="1:44" s="337" customFormat="1">
      <c r="A229" s="699"/>
      <c r="B229" s="333" t="s">
        <v>1390</v>
      </c>
      <c r="C229" s="333">
        <v>121</v>
      </c>
      <c r="D229" s="333">
        <v>7</v>
      </c>
      <c r="E229" s="342">
        <v>0</v>
      </c>
      <c r="F229" s="325"/>
      <c r="G229" s="333" t="s">
        <v>888</v>
      </c>
      <c r="H229" s="333">
        <v>10</v>
      </c>
      <c r="I229" s="325">
        <f t="shared" si="240"/>
        <v>131</v>
      </c>
      <c r="J229" s="325"/>
      <c r="K229" s="325"/>
      <c r="L229" s="646">
        <v>2586</v>
      </c>
      <c r="M229" s="325"/>
      <c r="N229" s="328">
        <f t="shared" si="241"/>
        <v>2586</v>
      </c>
      <c r="O229" s="328">
        <f t="shared" si="242"/>
        <v>21.55</v>
      </c>
      <c r="P229" s="328">
        <f t="shared" si="243"/>
        <v>258.60000000000002</v>
      </c>
      <c r="Q229" s="325">
        <f t="shared" si="244"/>
        <v>0</v>
      </c>
      <c r="R229" s="328">
        <f t="shared" si="245"/>
        <v>258.60000000000002</v>
      </c>
      <c r="S229" s="340">
        <v>1</v>
      </c>
      <c r="T229" s="328">
        <f t="shared" si="246"/>
        <v>258.60000000000002</v>
      </c>
      <c r="U229" s="325"/>
      <c r="V229" s="328">
        <f t="shared" si="247"/>
        <v>64.650000000000006</v>
      </c>
      <c r="W229" s="328">
        <f t="shared" si="248"/>
        <v>64.650000000000006</v>
      </c>
      <c r="X229" s="340">
        <v>1</v>
      </c>
      <c r="Y229" s="328">
        <f t="shared" si="249"/>
        <v>64.650000000000006</v>
      </c>
      <c r="Z229" s="328">
        <f t="shared" si="250"/>
        <v>323.25</v>
      </c>
      <c r="AA229" s="328">
        <f t="shared" si="251"/>
        <v>2392.0500000000002</v>
      </c>
      <c r="AB229" s="328">
        <f t="shared" si="252"/>
        <v>2262.75</v>
      </c>
      <c r="AC229" s="339">
        <f t="shared" si="234"/>
        <v>121.5</v>
      </c>
      <c r="AD229" s="325">
        <f t="shared" si="235"/>
        <v>122.75</v>
      </c>
      <c r="AE229" s="339">
        <f t="shared" si="236"/>
        <v>131.5</v>
      </c>
      <c r="AF229" s="325">
        <f t="shared" si="237"/>
        <v>121.75</v>
      </c>
      <c r="AG229" s="338">
        <f t="shared" si="238"/>
        <v>-8.3333333333333329E-2</v>
      </c>
      <c r="AH229" s="325"/>
      <c r="AI229" s="325"/>
      <c r="AJ229" s="325"/>
      <c r="AK229" s="325"/>
      <c r="AL229" s="325"/>
      <c r="AM229" s="325"/>
      <c r="AN229" s="325"/>
      <c r="AO229" s="325"/>
      <c r="AP229" s="325"/>
      <c r="AQ229" s="325"/>
      <c r="AR229" s="325"/>
    </row>
    <row r="230" spans="1:44" s="337" customFormat="1">
      <c r="A230" s="699"/>
      <c r="B230" s="333" t="s">
        <v>1391</v>
      </c>
      <c r="C230" s="333">
        <v>121</v>
      </c>
      <c r="D230" s="333">
        <v>7</v>
      </c>
      <c r="E230" s="342">
        <v>0</v>
      </c>
      <c r="F230" s="325"/>
      <c r="G230" s="333" t="s">
        <v>888</v>
      </c>
      <c r="H230" s="333">
        <v>10</v>
      </c>
      <c r="I230" s="325">
        <f t="shared" si="240"/>
        <v>131</v>
      </c>
      <c r="J230" s="325"/>
      <c r="K230" s="325"/>
      <c r="L230" s="646">
        <v>31058</v>
      </c>
      <c r="M230" s="325"/>
      <c r="N230" s="328">
        <f t="shared" si="241"/>
        <v>31058</v>
      </c>
      <c r="O230" s="328">
        <f t="shared" si="242"/>
        <v>258.81666666666666</v>
      </c>
      <c r="P230" s="328">
        <f t="shared" si="243"/>
        <v>3105.8</v>
      </c>
      <c r="Q230" s="325">
        <f t="shared" si="244"/>
        <v>0</v>
      </c>
      <c r="R230" s="328">
        <f t="shared" si="245"/>
        <v>3105.8</v>
      </c>
      <c r="S230" s="340">
        <v>1</v>
      </c>
      <c r="T230" s="328">
        <f t="shared" si="246"/>
        <v>3105.8</v>
      </c>
      <c r="U230" s="325"/>
      <c r="V230" s="328">
        <f t="shared" si="247"/>
        <v>776.45</v>
      </c>
      <c r="W230" s="328">
        <f t="shared" si="248"/>
        <v>776.45</v>
      </c>
      <c r="X230" s="340">
        <v>1</v>
      </c>
      <c r="Y230" s="328">
        <f t="shared" si="249"/>
        <v>776.45</v>
      </c>
      <c r="Z230" s="328">
        <f t="shared" si="250"/>
        <v>3882.25</v>
      </c>
      <c r="AA230" s="328">
        <f t="shared" si="251"/>
        <v>28728.65</v>
      </c>
      <c r="AB230" s="328">
        <f t="shared" si="252"/>
        <v>27175.75</v>
      </c>
      <c r="AC230" s="339">
        <f t="shared" si="234"/>
        <v>121.5</v>
      </c>
      <c r="AD230" s="325">
        <f t="shared" si="235"/>
        <v>122.75</v>
      </c>
      <c r="AE230" s="339">
        <f t="shared" si="236"/>
        <v>131.5</v>
      </c>
      <c r="AF230" s="325">
        <f t="shared" si="237"/>
        <v>121.75</v>
      </c>
      <c r="AG230" s="338">
        <f t="shared" si="238"/>
        <v>-8.3333333333333329E-2</v>
      </c>
      <c r="AH230" s="325"/>
      <c r="AI230" s="325"/>
      <c r="AJ230" s="325"/>
      <c r="AK230" s="325"/>
      <c r="AL230" s="325"/>
      <c r="AM230" s="325"/>
      <c r="AN230" s="325"/>
      <c r="AO230" s="325"/>
      <c r="AP230" s="325"/>
      <c r="AQ230" s="325"/>
      <c r="AR230" s="325"/>
    </row>
    <row r="231" spans="1:44">
      <c r="A231" s="658"/>
      <c r="B231" s="333" t="s">
        <v>1392</v>
      </c>
      <c r="C231" s="333">
        <v>121</v>
      </c>
      <c r="D231" s="333">
        <v>7</v>
      </c>
      <c r="E231" s="342">
        <v>0</v>
      </c>
      <c r="G231" s="333" t="s">
        <v>888</v>
      </c>
      <c r="H231" s="333">
        <v>10</v>
      </c>
      <c r="I231" s="325">
        <f t="shared" si="222"/>
        <v>131</v>
      </c>
      <c r="L231" s="646">
        <v>10026</v>
      </c>
      <c r="N231" s="328">
        <f t="shared" si="223"/>
        <v>10026</v>
      </c>
      <c r="O231" s="328">
        <f t="shared" si="224"/>
        <v>83.55</v>
      </c>
      <c r="P231" s="328">
        <f t="shared" si="225"/>
        <v>1002.5999999999999</v>
      </c>
      <c r="Q231" s="325">
        <f t="shared" si="226"/>
        <v>0</v>
      </c>
      <c r="R231" s="328">
        <f t="shared" si="227"/>
        <v>1002.5999999999999</v>
      </c>
      <c r="S231" s="340">
        <v>1</v>
      </c>
      <c r="T231" s="328">
        <f t="shared" si="228"/>
        <v>1002.5999999999999</v>
      </c>
      <c r="V231" s="328">
        <f t="shared" si="229"/>
        <v>250.64999999999998</v>
      </c>
      <c r="W231" s="328">
        <f t="shared" si="230"/>
        <v>250.64999999999998</v>
      </c>
      <c r="X231" s="340">
        <v>1</v>
      </c>
      <c r="Y231" s="328">
        <f t="shared" si="231"/>
        <v>250.64999999999998</v>
      </c>
      <c r="Z231" s="328">
        <f t="shared" si="232"/>
        <v>1253.25</v>
      </c>
      <c r="AA231" s="328">
        <f t="shared" si="233"/>
        <v>9274.0499999999993</v>
      </c>
      <c r="AB231" s="328">
        <f t="shared" si="239"/>
        <v>8772.75</v>
      </c>
      <c r="AC231" s="339">
        <f t="shared" si="234"/>
        <v>121.5</v>
      </c>
      <c r="AD231" s="325">
        <f t="shared" si="235"/>
        <v>122.75</v>
      </c>
      <c r="AE231" s="339">
        <f t="shared" si="236"/>
        <v>131.5</v>
      </c>
      <c r="AF231" s="325">
        <f t="shared" si="237"/>
        <v>121.75</v>
      </c>
      <c r="AG231" s="338">
        <f t="shared" si="238"/>
        <v>-8.3333333333333329E-2</v>
      </c>
    </row>
    <row r="232" spans="1:44">
      <c r="I232" s="330"/>
      <c r="L232" s="328"/>
      <c r="N232" s="328"/>
      <c r="P232" s="353"/>
      <c r="Q232" s="353"/>
      <c r="R232" s="352"/>
      <c r="Y232" s="328"/>
      <c r="Z232" s="328"/>
    </row>
    <row r="233" spans="1:44" ht="16.5" thickBot="1">
      <c r="B233" s="333" t="s">
        <v>953</v>
      </c>
      <c r="I233" s="330"/>
      <c r="L233" s="328">
        <f>SUM(L206:L232)</f>
        <v>301694.82999999996</v>
      </c>
      <c r="N233" s="328">
        <f>SUM(N206:N232)</f>
        <v>301694.82999999996</v>
      </c>
      <c r="P233" s="679">
        <f t="shared" ref="P233:R233" si="266">SUM(P206:P231)</f>
        <v>20359.166333333331</v>
      </c>
      <c r="Q233" s="679">
        <f t="shared" si="266"/>
        <v>0</v>
      </c>
      <c r="R233" s="343">
        <f t="shared" si="266"/>
        <v>20359.166333333331</v>
      </c>
      <c r="T233" s="335">
        <f>SUM(T206:T231)</f>
        <v>20359.166333333331</v>
      </c>
      <c r="V233" s="328">
        <f>SUM(V206:V232)</f>
        <v>196450.5474166667</v>
      </c>
      <c r="W233" s="328">
        <f>SUM(W206:W232)</f>
        <v>196450.5474166667</v>
      </c>
      <c r="Y233" s="328">
        <f>SUM(Y206:Y232)</f>
        <v>196450.5474166667</v>
      </c>
      <c r="Z233" s="328">
        <f>SUM(Z206:Z232)</f>
        <v>216809.71375</v>
      </c>
      <c r="AA233" s="335">
        <f>SUM(AA206:AA231)</f>
        <v>95064.69941666667</v>
      </c>
      <c r="AB233" s="335">
        <f>SUM(AB206:AB231)</f>
        <v>84885.116250000021</v>
      </c>
    </row>
    <row r="234" spans="1:44" ht="16.5" thickTop="1">
      <c r="I234" s="330" t="s">
        <v>886</v>
      </c>
      <c r="L234" s="334">
        <f>SUM(L206:L231)</f>
        <v>301694.82999999996</v>
      </c>
      <c r="N234" s="328"/>
      <c r="R234" s="328"/>
      <c r="T234" s="329"/>
      <c r="Y234" s="328"/>
      <c r="Z234" s="328"/>
      <c r="AA234" s="329"/>
      <c r="AB234" s="329"/>
    </row>
    <row r="235" spans="1:44">
      <c r="B235" s="333" t="s">
        <v>952</v>
      </c>
      <c r="I235" s="330"/>
      <c r="L235" s="328"/>
      <c r="N235" s="328"/>
      <c r="R235" s="328"/>
      <c r="T235" s="329"/>
      <c r="Y235" s="328"/>
      <c r="Z235" s="328"/>
      <c r="AA235" s="329"/>
      <c r="AB235" s="329"/>
    </row>
    <row r="236" spans="1:44">
      <c r="B236" s="333" t="s">
        <v>951</v>
      </c>
      <c r="C236" s="333">
        <v>90</v>
      </c>
      <c r="D236" s="333">
        <v>8</v>
      </c>
      <c r="E236" s="342">
        <v>0</v>
      </c>
      <c r="G236" s="333" t="s">
        <v>888</v>
      </c>
      <c r="H236" s="333">
        <v>10</v>
      </c>
      <c r="I236" s="341">
        <f t="shared" ref="I236:I268" si="267">+C236+H236</f>
        <v>100</v>
      </c>
      <c r="L236" s="331">
        <v>6972</v>
      </c>
      <c r="N236" s="328">
        <f t="shared" ref="N236:N268" si="268">L236-L236*E236</f>
        <v>6972</v>
      </c>
      <c r="O236" s="328">
        <f t="shared" ref="O236:O268" si="269">N236/H236/12</f>
        <v>58.1</v>
      </c>
      <c r="P236" s="328">
        <f t="shared" ref="P236:P268" si="270">IF(M236&gt;0,0,IF(OR(AC236&gt;AD236,AE236&lt;AF236),0,IF(AND(AE236&gt;=AF236,AE236&lt;=AD236),O236*((AE236-AF236)*12),IF(AND(AF236&lt;=AC236,AD236&gt;=AC236),((AD236-AC236)*12)*O236,IF(AE236&gt;AD236,12*O236,0)))))</f>
        <v>0</v>
      </c>
      <c r="Q236" s="325">
        <f t="shared" ref="Q236:Q268" si="271">IF(M236=0,0,IF(AND(AG236&gt;=AF236,AG236&lt;=AE236),((AG236-AF236)*12)*O236,0))</f>
        <v>0</v>
      </c>
      <c r="R236" s="328">
        <f t="shared" ref="R236:R268" si="272">IF(Q236&gt;0,Q236,P236)</f>
        <v>0</v>
      </c>
      <c r="S236" s="340">
        <v>1</v>
      </c>
      <c r="T236" s="328">
        <f t="shared" ref="T236:T268" si="273">S236*SUM(P236:Q236)</f>
        <v>0</v>
      </c>
      <c r="V236" s="328">
        <f t="shared" ref="V236:V268" si="274">IF(AC236&gt;AD236,0,IF(AE236&lt;AF236,N236,IF(AND(AE236&gt;=AF236,AE236&lt;=AD236),(N236-R236),IF(AND(AF236&lt;=AC236,AD236&gt;=AC236),0,IF(AE236&gt;AD236,((AF236-AC236)*12)*O236,0)))))</f>
        <v>6972</v>
      </c>
      <c r="W236" s="328">
        <f t="shared" ref="W236:W268" si="275">V236*S236</f>
        <v>6972</v>
      </c>
      <c r="X236" s="340">
        <v>1</v>
      </c>
      <c r="Y236" s="328">
        <f t="shared" ref="Y236:Y268" si="276">W236*X236</f>
        <v>6972</v>
      </c>
      <c r="Z236" s="328">
        <f t="shared" ref="Z236:Z268" si="277">IF(M236&gt;0,0,Y236+T236*X236)*X236</f>
        <v>6972</v>
      </c>
      <c r="AA236" s="328">
        <f t="shared" ref="AA236:AA268" si="278">IF(M236&gt;0,(L236-Y236)/2,IF(AC236&gt;=AF236,(((L236*S236)*X236)-Z236)/2,((((L236*S236)*X236)-Y236)+(((L236*S236)*X236)-Z236))/2))</f>
        <v>0</v>
      </c>
      <c r="AB236" s="328">
        <f>L236-Z236</f>
        <v>0</v>
      </c>
      <c r="AC236" s="339">
        <f t="shared" ref="AC236:AC268" si="279">$C236+(($D236-1)/12)</f>
        <v>90.583333333333329</v>
      </c>
      <c r="AD236" s="325">
        <f t="shared" ref="AD236:AD268" si="280">($N$5+1)-($N$2/12)</f>
        <v>122.75</v>
      </c>
      <c r="AE236" s="339">
        <f t="shared" ref="AE236:AE268" si="281">$I236+(($D236-1)/12)</f>
        <v>100.58333333333333</v>
      </c>
      <c r="AF236" s="325">
        <f t="shared" ref="AF236:AF268" si="282">$N$4+($N$3/12)</f>
        <v>121.75</v>
      </c>
      <c r="AG236" s="338">
        <f t="shared" ref="AG236:AG268" si="283">$J236+(($K236-1)/12)</f>
        <v>-8.3333333333333329E-2</v>
      </c>
    </row>
    <row r="237" spans="1:44">
      <c r="B237" s="333" t="s">
        <v>947</v>
      </c>
      <c r="C237" s="333">
        <v>90</v>
      </c>
      <c r="D237" s="333">
        <v>9</v>
      </c>
      <c r="E237" s="342">
        <v>0</v>
      </c>
      <c r="G237" s="333" t="s">
        <v>888</v>
      </c>
      <c r="H237" s="333">
        <v>10</v>
      </c>
      <c r="I237" s="341">
        <f t="shared" si="267"/>
        <v>100</v>
      </c>
      <c r="L237" s="331">
        <v>3658</v>
      </c>
      <c r="N237" s="328">
        <f t="shared" si="268"/>
        <v>3658</v>
      </c>
      <c r="O237" s="328">
        <f t="shared" si="269"/>
        <v>30.483333333333334</v>
      </c>
      <c r="P237" s="328">
        <f t="shared" si="270"/>
        <v>0</v>
      </c>
      <c r="Q237" s="325">
        <f t="shared" si="271"/>
        <v>0</v>
      </c>
      <c r="R237" s="328">
        <f t="shared" si="272"/>
        <v>0</v>
      </c>
      <c r="S237" s="340">
        <v>1</v>
      </c>
      <c r="T237" s="328">
        <f t="shared" si="273"/>
        <v>0</v>
      </c>
      <c r="V237" s="328">
        <f t="shared" si="274"/>
        <v>3658</v>
      </c>
      <c r="W237" s="328">
        <f t="shared" si="275"/>
        <v>3658</v>
      </c>
      <c r="X237" s="340">
        <v>1</v>
      </c>
      <c r="Y237" s="328">
        <f t="shared" si="276"/>
        <v>3658</v>
      </c>
      <c r="Z237" s="328">
        <f t="shared" si="277"/>
        <v>3658</v>
      </c>
      <c r="AA237" s="328">
        <f t="shared" si="278"/>
        <v>0</v>
      </c>
      <c r="AB237" s="328">
        <f t="shared" ref="AB237:AB268" si="284">L237-Z237</f>
        <v>0</v>
      </c>
      <c r="AC237" s="339">
        <f t="shared" si="279"/>
        <v>90.666666666666671</v>
      </c>
      <c r="AD237" s="325">
        <f t="shared" si="280"/>
        <v>122.75</v>
      </c>
      <c r="AE237" s="339">
        <f t="shared" si="281"/>
        <v>100.66666666666667</v>
      </c>
      <c r="AF237" s="325">
        <f t="shared" si="282"/>
        <v>121.75</v>
      </c>
      <c r="AG237" s="338">
        <f t="shared" si="283"/>
        <v>-8.3333333333333329E-2</v>
      </c>
    </row>
    <row r="238" spans="1:44">
      <c r="B238" s="333" t="s">
        <v>950</v>
      </c>
      <c r="C238" s="333">
        <v>90</v>
      </c>
      <c r="D238" s="333">
        <v>10</v>
      </c>
      <c r="E238" s="342">
        <v>0</v>
      </c>
      <c r="G238" s="333" t="s">
        <v>888</v>
      </c>
      <c r="H238" s="333">
        <v>10</v>
      </c>
      <c r="I238" s="341">
        <f t="shared" si="267"/>
        <v>100</v>
      </c>
      <c r="L238" s="331">
        <v>3775</v>
      </c>
      <c r="N238" s="328">
        <f t="shared" si="268"/>
        <v>3775</v>
      </c>
      <c r="O238" s="328">
        <f t="shared" si="269"/>
        <v>31.458333333333332</v>
      </c>
      <c r="P238" s="328">
        <f t="shared" si="270"/>
        <v>0</v>
      </c>
      <c r="Q238" s="325">
        <f t="shared" si="271"/>
        <v>0</v>
      </c>
      <c r="R238" s="328">
        <f t="shared" si="272"/>
        <v>0</v>
      </c>
      <c r="S238" s="340">
        <v>1</v>
      </c>
      <c r="T238" s="328">
        <f t="shared" si="273"/>
        <v>0</v>
      </c>
      <c r="V238" s="328">
        <f t="shared" si="274"/>
        <v>3775</v>
      </c>
      <c r="W238" s="328">
        <f t="shared" si="275"/>
        <v>3775</v>
      </c>
      <c r="X238" s="340">
        <v>1</v>
      </c>
      <c r="Y238" s="328">
        <f t="shared" si="276"/>
        <v>3775</v>
      </c>
      <c r="Z238" s="328">
        <f t="shared" si="277"/>
        <v>3775</v>
      </c>
      <c r="AA238" s="328">
        <f t="shared" si="278"/>
        <v>0</v>
      </c>
      <c r="AB238" s="328">
        <f t="shared" si="284"/>
        <v>0</v>
      </c>
      <c r="AC238" s="339">
        <f t="shared" si="279"/>
        <v>90.75</v>
      </c>
      <c r="AD238" s="325">
        <f t="shared" si="280"/>
        <v>122.75</v>
      </c>
      <c r="AE238" s="339">
        <f t="shared" si="281"/>
        <v>100.75</v>
      </c>
      <c r="AF238" s="325">
        <f t="shared" si="282"/>
        <v>121.75</v>
      </c>
      <c r="AG238" s="338">
        <f t="shared" si="283"/>
        <v>-8.3333333333333329E-2</v>
      </c>
    </row>
    <row r="239" spans="1:44">
      <c r="B239" s="333" t="s">
        <v>949</v>
      </c>
      <c r="C239" s="333">
        <v>91</v>
      </c>
      <c r="D239" s="333">
        <v>2</v>
      </c>
      <c r="E239" s="342">
        <v>0</v>
      </c>
      <c r="G239" s="333" t="s">
        <v>888</v>
      </c>
      <c r="H239" s="333">
        <v>10</v>
      </c>
      <c r="I239" s="341">
        <f t="shared" si="267"/>
        <v>101</v>
      </c>
      <c r="L239" s="331">
        <v>10026</v>
      </c>
      <c r="N239" s="328">
        <f t="shared" si="268"/>
        <v>10026</v>
      </c>
      <c r="O239" s="328">
        <f t="shared" si="269"/>
        <v>83.55</v>
      </c>
      <c r="P239" s="328">
        <f t="shared" si="270"/>
        <v>0</v>
      </c>
      <c r="Q239" s="325">
        <f t="shared" si="271"/>
        <v>0</v>
      </c>
      <c r="R239" s="328">
        <f t="shared" si="272"/>
        <v>0</v>
      </c>
      <c r="S239" s="340">
        <v>1</v>
      </c>
      <c r="T239" s="328">
        <f t="shared" si="273"/>
        <v>0</v>
      </c>
      <c r="V239" s="328">
        <f t="shared" si="274"/>
        <v>10026</v>
      </c>
      <c r="W239" s="328">
        <f t="shared" si="275"/>
        <v>10026</v>
      </c>
      <c r="X239" s="340">
        <v>1</v>
      </c>
      <c r="Y239" s="328">
        <f t="shared" si="276"/>
        <v>10026</v>
      </c>
      <c r="Z239" s="328">
        <f t="shared" si="277"/>
        <v>10026</v>
      </c>
      <c r="AA239" s="328">
        <f t="shared" si="278"/>
        <v>0</v>
      </c>
      <c r="AB239" s="328">
        <f>L239-Z239</f>
        <v>0</v>
      </c>
      <c r="AC239" s="339">
        <f t="shared" si="279"/>
        <v>91.083333333333329</v>
      </c>
      <c r="AD239" s="325">
        <f t="shared" si="280"/>
        <v>122.75</v>
      </c>
      <c r="AE239" s="339">
        <f t="shared" si="281"/>
        <v>101.08333333333333</v>
      </c>
      <c r="AF239" s="325">
        <f t="shared" si="282"/>
        <v>121.75</v>
      </c>
      <c r="AG239" s="338">
        <f t="shared" si="283"/>
        <v>-8.3333333333333329E-2</v>
      </c>
    </row>
    <row r="240" spans="1:44">
      <c r="B240" s="333" t="s">
        <v>948</v>
      </c>
      <c r="C240" s="333">
        <v>92</v>
      </c>
      <c r="D240" s="333">
        <v>5</v>
      </c>
      <c r="E240" s="342">
        <v>0</v>
      </c>
      <c r="G240" s="333" t="s">
        <v>888</v>
      </c>
      <c r="H240" s="333">
        <v>10</v>
      </c>
      <c r="I240" s="341">
        <f t="shared" si="267"/>
        <v>102</v>
      </c>
      <c r="L240" s="331">
        <v>5730</v>
      </c>
      <c r="N240" s="328">
        <f t="shared" si="268"/>
        <v>5730</v>
      </c>
      <c r="O240" s="328">
        <f t="shared" si="269"/>
        <v>47.75</v>
      </c>
      <c r="P240" s="328">
        <f t="shared" si="270"/>
        <v>0</v>
      </c>
      <c r="Q240" s="325">
        <f t="shared" si="271"/>
        <v>0</v>
      </c>
      <c r="R240" s="328">
        <f t="shared" si="272"/>
        <v>0</v>
      </c>
      <c r="S240" s="340">
        <v>1</v>
      </c>
      <c r="T240" s="328">
        <f t="shared" si="273"/>
        <v>0</v>
      </c>
      <c r="V240" s="328">
        <f t="shared" si="274"/>
        <v>5730</v>
      </c>
      <c r="W240" s="328">
        <f t="shared" si="275"/>
        <v>5730</v>
      </c>
      <c r="X240" s="340">
        <v>1</v>
      </c>
      <c r="Y240" s="328">
        <f t="shared" si="276"/>
        <v>5730</v>
      </c>
      <c r="Z240" s="328">
        <f t="shared" si="277"/>
        <v>5730</v>
      </c>
      <c r="AA240" s="328">
        <f t="shared" si="278"/>
        <v>0</v>
      </c>
      <c r="AB240" s="328">
        <f t="shared" si="284"/>
        <v>0</v>
      </c>
      <c r="AC240" s="339">
        <f t="shared" si="279"/>
        <v>92.333333333333329</v>
      </c>
      <c r="AD240" s="325">
        <f t="shared" si="280"/>
        <v>122.75</v>
      </c>
      <c r="AE240" s="339">
        <f t="shared" si="281"/>
        <v>102.33333333333333</v>
      </c>
      <c r="AF240" s="325">
        <f t="shared" si="282"/>
        <v>121.75</v>
      </c>
      <c r="AG240" s="338">
        <f t="shared" si="283"/>
        <v>-8.3333333333333329E-2</v>
      </c>
    </row>
    <row r="241" spans="1:33">
      <c r="B241" s="333" t="s">
        <v>947</v>
      </c>
      <c r="C241" s="333">
        <v>94</v>
      </c>
      <c r="D241" s="333">
        <v>7</v>
      </c>
      <c r="E241" s="342">
        <v>0</v>
      </c>
      <c r="G241" s="333" t="s">
        <v>888</v>
      </c>
      <c r="H241" s="333">
        <v>10</v>
      </c>
      <c r="I241" s="341">
        <f t="shared" si="267"/>
        <v>104</v>
      </c>
      <c r="L241" s="331">
        <v>4539</v>
      </c>
      <c r="N241" s="328">
        <f t="shared" si="268"/>
        <v>4539</v>
      </c>
      <c r="O241" s="328">
        <f t="shared" si="269"/>
        <v>37.824999999999996</v>
      </c>
      <c r="P241" s="328">
        <f t="shared" si="270"/>
        <v>0</v>
      </c>
      <c r="Q241" s="325">
        <f t="shared" si="271"/>
        <v>0</v>
      </c>
      <c r="R241" s="328">
        <f t="shared" si="272"/>
        <v>0</v>
      </c>
      <c r="S241" s="340">
        <v>1</v>
      </c>
      <c r="T241" s="328">
        <f t="shared" si="273"/>
        <v>0</v>
      </c>
      <c r="V241" s="328">
        <f t="shared" si="274"/>
        <v>4539</v>
      </c>
      <c r="W241" s="328">
        <f t="shared" si="275"/>
        <v>4539</v>
      </c>
      <c r="X241" s="340">
        <v>1</v>
      </c>
      <c r="Y241" s="328">
        <f t="shared" si="276"/>
        <v>4539</v>
      </c>
      <c r="Z241" s="328">
        <f t="shared" si="277"/>
        <v>4539</v>
      </c>
      <c r="AA241" s="328">
        <f t="shared" si="278"/>
        <v>0</v>
      </c>
      <c r="AB241" s="328">
        <f t="shared" si="284"/>
        <v>0</v>
      </c>
      <c r="AC241" s="339">
        <f t="shared" si="279"/>
        <v>94.5</v>
      </c>
      <c r="AD241" s="325">
        <f t="shared" si="280"/>
        <v>122.75</v>
      </c>
      <c r="AE241" s="339">
        <f t="shared" si="281"/>
        <v>104.5</v>
      </c>
      <c r="AF241" s="325">
        <f t="shared" si="282"/>
        <v>121.75</v>
      </c>
      <c r="AG241" s="338">
        <f t="shared" si="283"/>
        <v>-8.3333333333333329E-2</v>
      </c>
    </row>
    <row r="242" spans="1:33">
      <c r="B242" s="333" t="s">
        <v>947</v>
      </c>
      <c r="C242" s="333">
        <v>97</v>
      </c>
      <c r="D242" s="333">
        <v>5</v>
      </c>
      <c r="E242" s="342">
        <v>0</v>
      </c>
      <c r="G242" s="333" t="s">
        <v>888</v>
      </c>
      <c r="H242" s="333">
        <v>10</v>
      </c>
      <c r="I242" s="341">
        <f t="shared" si="267"/>
        <v>107</v>
      </c>
      <c r="L242" s="331">
        <v>3172</v>
      </c>
      <c r="N242" s="328">
        <f t="shared" si="268"/>
        <v>3172</v>
      </c>
      <c r="O242" s="328">
        <f t="shared" si="269"/>
        <v>26.433333333333334</v>
      </c>
      <c r="P242" s="328">
        <f t="shared" si="270"/>
        <v>0</v>
      </c>
      <c r="Q242" s="325">
        <f t="shared" si="271"/>
        <v>0</v>
      </c>
      <c r="R242" s="328">
        <f t="shared" si="272"/>
        <v>0</v>
      </c>
      <c r="S242" s="340">
        <v>1</v>
      </c>
      <c r="T242" s="328">
        <f t="shared" si="273"/>
        <v>0</v>
      </c>
      <c r="V242" s="328">
        <f t="shared" si="274"/>
        <v>3172</v>
      </c>
      <c r="W242" s="328">
        <f t="shared" si="275"/>
        <v>3172</v>
      </c>
      <c r="X242" s="340">
        <v>1</v>
      </c>
      <c r="Y242" s="328">
        <f t="shared" si="276"/>
        <v>3172</v>
      </c>
      <c r="Z242" s="328">
        <f t="shared" si="277"/>
        <v>3172</v>
      </c>
      <c r="AA242" s="328">
        <f t="shared" si="278"/>
        <v>0</v>
      </c>
      <c r="AB242" s="328">
        <f t="shared" si="284"/>
        <v>0</v>
      </c>
      <c r="AC242" s="339">
        <f t="shared" si="279"/>
        <v>97.333333333333329</v>
      </c>
      <c r="AD242" s="325">
        <f t="shared" si="280"/>
        <v>122.75</v>
      </c>
      <c r="AE242" s="339">
        <f t="shared" si="281"/>
        <v>107.33333333333333</v>
      </c>
      <c r="AF242" s="325">
        <f t="shared" si="282"/>
        <v>121.75</v>
      </c>
      <c r="AG242" s="338">
        <f t="shared" si="283"/>
        <v>-8.3333333333333329E-2</v>
      </c>
    </row>
    <row r="243" spans="1:33">
      <c r="B243" s="333" t="s">
        <v>946</v>
      </c>
      <c r="C243" s="333">
        <v>97</v>
      </c>
      <c r="D243" s="333">
        <v>5</v>
      </c>
      <c r="E243" s="342">
        <v>0</v>
      </c>
      <c r="G243" s="333" t="s">
        <v>888</v>
      </c>
      <c r="H243" s="333">
        <v>10</v>
      </c>
      <c r="I243" s="341">
        <f t="shared" si="267"/>
        <v>107</v>
      </c>
      <c r="L243" s="331">
        <v>3685</v>
      </c>
      <c r="N243" s="328">
        <f t="shared" si="268"/>
        <v>3685</v>
      </c>
      <c r="O243" s="328">
        <f t="shared" si="269"/>
        <v>30.708333333333332</v>
      </c>
      <c r="P243" s="328">
        <f t="shared" si="270"/>
        <v>0</v>
      </c>
      <c r="Q243" s="325">
        <f t="shared" si="271"/>
        <v>0</v>
      </c>
      <c r="R243" s="328">
        <f t="shared" si="272"/>
        <v>0</v>
      </c>
      <c r="S243" s="340">
        <v>1</v>
      </c>
      <c r="T243" s="328">
        <f t="shared" si="273"/>
        <v>0</v>
      </c>
      <c r="V243" s="328">
        <f t="shared" si="274"/>
        <v>3685</v>
      </c>
      <c r="W243" s="328">
        <f t="shared" si="275"/>
        <v>3685</v>
      </c>
      <c r="X243" s="340">
        <v>1</v>
      </c>
      <c r="Y243" s="328">
        <f t="shared" si="276"/>
        <v>3685</v>
      </c>
      <c r="Z243" s="328">
        <f t="shared" si="277"/>
        <v>3685</v>
      </c>
      <c r="AA243" s="328">
        <f t="shared" si="278"/>
        <v>0</v>
      </c>
      <c r="AB243" s="328">
        <f t="shared" si="284"/>
        <v>0</v>
      </c>
      <c r="AC243" s="339">
        <f t="shared" si="279"/>
        <v>97.333333333333329</v>
      </c>
      <c r="AD243" s="325">
        <f t="shared" si="280"/>
        <v>122.75</v>
      </c>
      <c r="AE243" s="339">
        <f t="shared" si="281"/>
        <v>107.33333333333333</v>
      </c>
      <c r="AF243" s="325">
        <f t="shared" si="282"/>
        <v>121.75</v>
      </c>
      <c r="AG243" s="338">
        <f t="shared" si="283"/>
        <v>-8.3333333333333329E-2</v>
      </c>
    </row>
    <row r="244" spans="1:33">
      <c r="B244" s="333" t="s">
        <v>945</v>
      </c>
      <c r="C244" s="333">
        <v>97</v>
      </c>
      <c r="D244" s="333">
        <v>5</v>
      </c>
      <c r="E244" s="342">
        <v>0</v>
      </c>
      <c r="G244" s="333" t="s">
        <v>888</v>
      </c>
      <c r="H244" s="333">
        <v>10</v>
      </c>
      <c r="I244" s="341">
        <f t="shared" si="267"/>
        <v>107</v>
      </c>
      <c r="L244" s="331">
        <v>2587</v>
      </c>
      <c r="N244" s="328">
        <f t="shared" si="268"/>
        <v>2587</v>
      </c>
      <c r="O244" s="328">
        <f t="shared" si="269"/>
        <v>21.558333333333334</v>
      </c>
      <c r="P244" s="328">
        <f t="shared" si="270"/>
        <v>0</v>
      </c>
      <c r="Q244" s="325">
        <f t="shared" si="271"/>
        <v>0</v>
      </c>
      <c r="R244" s="328">
        <f t="shared" si="272"/>
        <v>0</v>
      </c>
      <c r="S244" s="340">
        <v>1</v>
      </c>
      <c r="T244" s="328">
        <f t="shared" si="273"/>
        <v>0</v>
      </c>
      <c r="V244" s="328">
        <f t="shared" si="274"/>
        <v>2587</v>
      </c>
      <c r="W244" s="328">
        <f t="shared" si="275"/>
        <v>2587</v>
      </c>
      <c r="X244" s="340">
        <v>1</v>
      </c>
      <c r="Y244" s="328">
        <f t="shared" si="276"/>
        <v>2587</v>
      </c>
      <c r="Z244" s="328">
        <f t="shared" si="277"/>
        <v>2587</v>
      </c>
      <c r="AA244" s="328">
        <f t="shared" si="278"/>
        <v>0</v>
      </c>
      <c r="AB244" s="328">
        <f t="shared" si="284"/>
        <v>0</v>
      </c>
      <c r="AC244" s="339">
        <f t="shared" si="279"/>
        <v>97.333333333333329</v>
      </c>
      <c r="AD244" s="325">
        <f t="shared" si="280"/>
        <v>122.75</v>
      </c>
      <c r="AE244" s="339">
        <f t="shared" si="281"/>
        <v>107.33333333333333</v>
      </c>
      <c r="AF244" s="325">
        <f t="shared" si="282"/>
        <v>121.75</v>
      </c>
      <c r="AG244" s="338">
        <f t="shared" si="283"/>
        <v>-8.3333333333333329E-2</v>
      </c>
    </row>
    <row r="245" spans="1:33">
      <c r="B245" s="333" t="s">
        <v>944</v>
      </c>
      <c r="C245" s="333">
        <v>104</v>
      </c>
      <c r="D245" s="333">
        <v>6</v>
      </c>
      <c r="E245" s="342">
        <v>0</v>
      </c>
      <c r="G245" s="333" t="s">
        <v>888</v>
      </c>
      <c r="H245" s="333">
        <v>10</v>
      </c>
      <c r="I245" s="341">
        <f t="shared" si="267"/>
        <v>114</v>
      </c>
      <c r="L245" s="331">
        <v>1400</v>
      </c>
      <c r="N245" s="328">
        <f t="shared" si="268"/>
        <v>1400</v>
      </c>
      <c r="O245" s="328">
        <f t="shared" si="269"/>
        <v>11.666666666666666</v>
      </c>
      <c r="P245" s="328">
        <f t="shared" si="270"/>
        <v>0</v>
      </c>
      <c r="Q245" s="325">
        <f t="shared" si="271"/>
        <v>0</v>
      </c>
      <c r="R245" s="328">
        <f t="shared" si="272"/>
        <v>0</v>
      </c>
      <c r="S245" s="340">
        <v>1</v>
      </c>
      <c r="T245" s="328">
        <f t="shared" si="273"/>
        <v>0</v>
      </c>
      <c r="V245" s="328">
        <f t="shared" si="274"/>
        <v>1400</v>
      </c>
      <c r="W245" s="328">
        <f t="shared" si="275"/>
        <v>1400</v>
      </c>
      <c r="X245" s="340">
        <v>1</v>
      </c>
      <c r="Y245" s="328">
        <f t="shared" si="276"/>
        <v>1400</v>
      </c>
      <c r="Z245" s="328">
        <f t="shared" si="277"/>
        <v>1400</v>
      </c>
      <c r="AA245" s="328">
        <f t="shared" si="278"/>
        <v>0</v>
      </c>
      <c r="AB245" s="328">
        <f t="shared" si="284"/>
        <v>0</v>
      </c>
      <c r="AC245" s="339">
        <f t="shared" si="279"/>
        <v>104.41666666666667</v>
      </c>
      <c r="AD245" s="325">
        <f t="shared" si="280"/>
        <v>122.75</v>
      </c>
      <c r="AE245" s="339">
        <f t="shared" si="281"/>
        <v>114.41666666666667</v>
      </c>
      <c r="AF245" s="325">
        <f t="shared" si="282"/>
        <v>121.75</v>
      </c>
      <c r="AG245" s="338">
        <f t="shared" si="283"/>
        <v>-8.3333333333333329E-2</v>
      </c>
    </row>
    <row r="246" spans="1:33">
      <c r="B246" s="333" t="s">
        <v>943</v>
      </c>
      <c r="C246" s="333">
        <v>104</v>
      </c>
      <c r="D246" s="333">
        <v>12</v>
      </c>
      <c r="E246" s="342">
        <v>0</v>
      </c>
      <c r="G246" s="333" t="s">
        <v>888</v>
      </c>
      <c r="H246" s="333">
        <v>10</v>
      </c>
      <c r="I246" s="341">
        <f t="shared" si="267"/>
        <v>114</v>
      </c>
      <c r="L246" s="331">
        <v>4315</v>
      </c>
      <c r="N246" s="328">
        <f t="shared" si="268"/>
        <v>4315</v>
      </c>
      <c r="O246" s="328">
        <f t="shared" si="269"/>
        <v>35.958333333333336</v>
      </c>
      <c r="P246" s="328">
        <f t="shared" si="270"/>
        <v>0</v>
      </c>
      <c r="Q246" s="325">
        <f t="shared" si="271"/>
        <v>0</v>
      </c>
      <c r="R246" s="328">
        <f t="shared" si="272"/>
        <v>0</v>
      </c>
      <c r="S246" s="340">
        <v>1</v>
      </c>
      <c r="T246" s="328">
        <f t="shared" si="273"/>
        <v>0</v>
      </c>
      <c r="V246" s="328">
        <f t="shared" si="274"/>
        <v>4315</v>
      </c>
      <c r="W246" s="328">
        <f t="shared" si="275"/>
        <v>4315</v>
      </c>
      <c r="X246" s="340">
        <v>1</v>
      </c>
      <c r="Y246" s="328">
        <f t="shared" si="276"/>
        <v>4315</v>
      </c>
      <c r="Z246" s="328">
        <f t="shared" si="277"/>
        <v>4315</v>
      </c>
      <c r="AA246" s="328">
        <f t="shared" si="278"/>
        <v>0</v>
      </c>
      <c r="AB246" s="328">
        <f t="shared" si="284"/>
        <v>0</v>
      </c>
      <c r="AC246" s="339">
        <f t="shared" si="279"/>
        <v>104.91666666666667</v>
      </c>
      <c r="AD246" s="325">
        <f t="shared" si="280"/>
        <v>122.75</v>
      </c>
      <c r="AE246" s="339">
        <f t="shared" si="281"/>
        <v>114.91666666666667</v>
      </c>
      <c r="AF246" s="325">
        <f t="shared" si="282"/>
        <v>121.75</v>
      </c>
      <c r="AG246" s="338">
        <f t="shared" si="283"/>
        <v>-8.3333333333333329E-2</v>
      </c>
    </row>
    <row r="247" spans="1:33">
      <c r="B247" s="333" t="s">
        <v>939</v>
      </c>
      <c r="C247" s="333">
        <v>104</v>
      </c>
      <c r="D247" s="333">
        <v>12</v>
      </c>
      <c r="E247" s="342">
        <v>0</v>
      </c>
      <c r="G247" s="333" t="s">
        <v>888</v>
      </c>
      <c r="H247" s="333">
        <v>10</v>
      </c>
      <c r="I247" s="341">
        <f t="shared" si="267"/>
        <v>114</v>
      </c>
      <c r="L247" s="331">
        <v>5160</v>
      </c>
      <c r="N247" s="328">
        <f t="shared" si="268"/>
        <v>5160</v>
      </c>
      <c r="O247" s="328">
        <f t="shared" si="269"/>
        <v>43</v>
      </c>
      <c r="P247" s="328">
        <f t="shared" si="270"/>
        <v>0</v>
      </c>
      <c r="Q247" s="325">
        <f t="shared" si="271"/>
        <v>0</v>
      </c>
      <c r="R247" s="328">
        <f t="shared" si="272"/>
        <v>0</v>
      </c>
      <c r="S247" s="340">
        <v>1</v>
      </c>
      <c r="T247" s="328">
        <f t="shared" si="273"/>
        <v>0</v>
      </c>
      <c r="V247" s="328">
        <f t="shared" si="274"/>
        <v>5160</v>
      </c>
      <c r="W247" s="328">
        <f t="shared" si="275"/>
        <v>5160</v>
      </c>
      <c r="X247" s="340">
        <v>1</v>
      </c>
      <c r="Y247" s="328">
        <f t="shared" si="276"/>
        <v>5160</v>
      </c>
      <c r="Z247" s="328">
        <f t="shared" si="277"/>
        <v>5160</v>
      </c>
      <c r="AA247" s="328">
        <f t="shared" si="278"/>
        <v>0</v>
      </c>
      <c r="AB247" s="328">
        <f t="shared" si="284"/>
        <v>0</v>
      </c>
      <c r="AC247" s="339">
        <f t="shared" si="279"/>
        <v>104.91666666666667</v>
      </c>
      <c r="AD247" s="325">
        <f t="shared" si="280"/>
        <v>122.75</v>
      </c>
      <c r="AE247" s="339">
        <f t="shared" si="281"/>
        <v>114.91666666666667</v>
      </c>
      <c r="AF247" s="325">
        <f t="shared" si="282"/>
        <v>121.75</v>
      </c>
      <c r="AG247" s="338">
        <f t="shared" si="283"/>
        <v>-8.3333333333333329E-2</v>
      </c>
    </row>
    <row r="248" spans="1:33">
      <c r="B248" s="333" t="s">
        <v>939</v>
      </c>
      <c r="C248" s="333">
        <v>105</v>
      </c>
      <c r="D248" s="333">
        <v>7</v>
      </c>
      <c r="E248" s="342">
        <v>0</v>
      </c>
      <c r="G248" s="333" t="s">
        <v>888</v>
      </c>
      <c r="H248" s="333">
        <v>10</v>
      </c>
      <c r="I248" s="341">
        <f t="shared" si="267"/>
        <v>115</v>
      </c>
      <c r="L248" s="331">
        <v>5124</v>
      </c>
      <c r="N248" s="328">
        <f t="shared" si="268"/>
        <v>5124</v>
      </c>
      <c r="O248" s="328">
        <f t="shared" si="269"/>
        <v>42.699999999999996</v>
      </c>
      <c r="P248" s="328">
        <f t="shared" si="270"/>
        <v>0</v>
      </c>
      <c r="Q248" s="325">
        <f t="shared" si="271"/>
        <v>0</v>
      </c>
      <c r="R248" s="328">
        <f t="shared" si="272"/>
        <v>0</v>
      </c>
      <c r="S248" s="340">
        <v>1</v>
      </c>
      <c r="T248" s="328">
        <f t="shared" si="273"/>
        <v>0</v>
      </c>
      <c r="V248" s="328">
        <f t="shared" si="274"/>
        <v>5124</v>
      </c>
      <c r="W248" s="328">
        <f t="shared" si="275"/>
        <v>5124</v>
      </c>
      <c r="X248" s="340">
        <v>1</v>
      </c>
      <c r="Y248" s="328">
        <f t="shared" si="276"/>
        <v>5124</v>
      </c>
      <c r="Z248" s="328">
        <f t="shared" si="277"/>
        <v>5124</v>
      </c>
      <c r="AA248" s="328">
        <f t="shared" si="278"/>
        <v>0</v>
      </c>
      <c r="AB248" s="328">
        <f t="shared" si="284"/>
        <v>0</v>
      </c>
      <c r="AC248" s="339">
        <f t="shared" si="279"/>
        <v>105.5</v>
      </c>
      <c r="AD248" s="325">
        <f t="shared" si="280"/>
        <v>122.75</v>
      </c>
      <c r="AE248" s="339">
        <f t="shared" si="281"/>
        <v>115.5</v>
      </c>
      <c r="AF248" s="325">
        <f t="shared" si="282"/>
        <v>121.75</v>
      </c>
      <c r="AG248" s="338">
        <f t="shared" si="283"/>
        <v>-8.3333333333333329E-2</v>
      </c>
    </row>
    <row r="249" spans="1:33">
      <c r="B249" s="333" t="s">
        <v>942</v>
      </c>
      <c r="C249" s="333">
        <v>105</v>
      </c>
      <c r="D249" s="333">
        <v>7</v>
      </c>
      <c r="E249" s="342">
        <v>0</v>
      </c>
      <c r="G249" s="333" t="s">
        <v>888</v>
      </c>
      <c r="H249" s="333">
        <v>10</v>
      </c>
      <c r="I249" s="341">
        <f t="shared" si="267"/>
        <v>115</v>
      </c>
      <c r="L249" s="331">
        <v>5721</v>
      </c>
      <c r="N249" s="328">
        <f t="shared" si="268"/>
        <v>5721</v>
      </c>
      <c r="O249" s="328">
        <f t="shared" si="269"/>
        <v>47.675000000000004</v>
      </c>
      <c r="P249" s="328">
        <f t="shared" si="270"/>
        <v>0</v>
      </c>
      <c r="Q249" s="325">
        <f t="shared" si="271"/>
        <v>0</v>
      </c>
      <c r="R249" s="328">
        <f t="shared" si="272"/>
        <v>0</v>
      </c>
      <c r="S249" s="340">
        <v>1</v>
      </c>
      <c r="T249" s="328">
        <f t="shared" si="273"/>
        <v>0</v>
      </c>
      <c r="V249" s="328">
        <f t="shared" si="274"/>
        <v>5721</v>
      </c>
      <c r="W249" s="328">
        <f t="shared" si="275"/>
        <v>5721</v>
      </c>
      <c r="X249" s="340">
        <v>1</v>
      </c>
      <c r="Y249" s="328">
        <f t="shared" si="276"/>
        <v>5721</v>
      </c>
      <c r="Z249" s="328">
        <f t="shared" si="277"/>
        <v>5721</v>
      </c>
      <c r="AA249" s="328">
        <f t="shared" si="278"/>
        <v>0</v>
      </c>
      <c r="AB249" s="328">
        <f t="shared" si="284"/>
        <v>0</v>
      </c>
      <c r="AC249" s="339">
        <f t="shared" si="279"/>
        <v>105.5</v>
      </c>
      <c r="AD249" s="325">
        <f t="shared" si="280"/>
        <v>122.75</v>
      </c>
      <c r="AE249" s="339">
        <f t="shared" si="281"/>
        <v>115.5</v>
      </c>
      <c r="AF249" s="325">
        <f t="shared" si="282"/>
        <v>121.75</v>
      </c>
      <c r="AG249" s="338">
        <f t="shared" si="283"/>
        <v>-8.3333333333333329E-2</v>
      </c>
    </row>
    <row r="250" spans="1:33">
      <c r="B250" s="333" t="s">
        <v>941</v>
      </c>
      <c r="C250" s="333">
        <v>105</v>
      </c>
      <c r="D250" s="333">
        <v>7</v>
      </c>
      <c r="E250" s="342">
        <v>0</v>
      </c>
      <c r="G250" s="333" t="s">
        <v>888</v>
      </c>
      <c r="H250" s="333">
        <v>10</v>
      </c>
      <c r="I250" s="341">
        <f t="shared" si="267"/>
        <v>115</v>
      </c>
      <c r="L250" s="331">
        <v>4397</v>
      </c>
      <c r="N250" s="328">
        <f t="shared" si="268"/>
        <v>4397</v>
      </c>
      <c r="O250" s="328">
        <f t="shared" si="269"/>
        <v>36.641666666666666</v>
      </c>
      <c r="P250" s="328">
        <f t="shared" si="270"/>
        <v>0</v>
      </c>
      <c r="Q250" s="325">
        <f t="shared" si="271"/>
        <v>0</v>
      </c>
      <c r="R250" s="328">
        <f t="shared" si="272"/>
        <v>0</v>
      </c>
      <c r="S250" s="340">
        <v>1</v>
      </c>
      <c r="T250" s="328">
        <f t="shared" si="273"/>
        <v>0</v>
      </c>
      <c r="V250" s="328">
        <f t="shared" si="274"/>
        <v>4397</v>
      </c>
      <c r="W250" s="328">
        <f t="shared" si="275"/>
        <v>4397</v>
      </c>
      <c r="X250" s="340">
        <v>1</v>
      </c>
      <c r="Y250" s="328">
        <f t="shared" si="276"/>
        <v>4397</v>
      </c>
      <c r="Z250" s="328">
        <f t="shared" si="277"/>
        <v>4397</v>
      </c>
      <c r="AA250" s="328">
        <f t="shared" si="278"/>
        <v>0</v>
      </c>
      <c r="AB250" s="328">
        <f t="shared" si="284"/>
        <v>0</v>
      </c>
      <c r="AC250" s="339">
        <f t="shared" si="279"/>
        <v>105.5</v>
      </c>
      <c r="AD250" s="325">
        <f t="shared" si="280"/>
        <v>122.75</v>
      </c>
      <c r="AE250" s="339">
        <f t="shared" si="281"/>
        <v>115.5</v>
      </c>
      <c r="AF250" s="325">
        <f t="shared" si="282"/>
        <v>121.75</v>
      </c>
      <c r="AG250" s="338">
        <f t="shared" si="283"/>
        <v>-8.3333333333333329E-2</v>
      </c>
    </row>
    <row r="251" spans="1:33">
      <c r="B251" s="333" t="s">
        <v>941</v>
      </c>
      <c r="C251" s="333">
        <v>106</v>
      </c>
      <c r="D251" s="333">
        <v>2</v>
      </c>
      <c r="E251" s="342">
        <v>0</v>
      </c>
      <c r="G251" s="333" t="s">
        <v>888</v>
      </c>
      <c r="H251" s="333">
        <v>10</v>
      </c>
      <c r="I251" s="341">
        <f t="shared" si="267"/>
        <v>116</v>
      </c>
      <c r="L251" s="331">
        <v>4135</v>
      </c>
      <c r="N251" s="328">
        <f t="shared" si="268"/>
        <v>4135</v>
      </c>
      <c r="O251" s="328">
        <f t="shared" si="269"/>
        <v>34.458333333333336</v>
      </c>
      <c r="P251" s="328">
        <f t="shared" si="270"/>
        <v>0</v>
      </c>
      <c r="Q251" s="325">
        <f t="shared" si="271"/>
        <v>0</v>
      </c>
      <c r="R251" s="328">
        <f t="shared" si="272"/>
        <v>0</v>
      </c>
      <c r="S251" s="340">
        <v>1</v>
      </c>
      <c r="T251" s="328">
        <f t="shared" si="273"/>
        <v>0</v>
      </c>
      <c r="V251" s="328">
        <f t="shared" si="274"/>
        <v>4135</v>
      </c>
      <c r="W251" s="328">
        <f t="shared" si="275"/>
        <v>4135</v>
      </c>
      <c r="X251" s="340">
        <v>1</v>
      </c>
      <c r="Y251" s="328">
        <f t="shared" si="276"/>
        <v>4135</v>
      </c>
      <c r="Z251" s="328">
        <f t="shared" si="277"/>
        <v>4135</v>
      </c>
      <c r="AA251" s="328">
        <f t="shared" si="278"/>
        <v>0</v>
      </c>
      <c r="AB251" s="328">
        <f t="shared" si="284"/>
        <v>0</v>
      </c>
      <c r="AC251" s="339">
        <f t="shared" si="279"/>
        <v>106.08333333333333</v>
      </c>
      <c r="AD251" s="325">
        <f t="shared" si="280"/>
        <v>122.75</v>
      </c>
      <c r="AE251" s="339">
        <f t="shared" si="281"/>
        <v>116.08333333333333</v>
      </c>
      <c r="AF251" s="325">
        <f t="shared" si="282"/>
        <v>121.75</v>
      </c>
      <c r="AG251" s="338">
        <f t="shared" si="283"/>
        <v>-8.3333333333333329E-2</v>
      </c>
    </row>
    <row r="252" spans="1:33">
      <c r="B252" s="333" t="s">
        <v>940</v>
      </c>
      <c r="C252" s="333">
        <v>106</v>
      </c>
      <c r="D252" s="333">
        <v>8</v>
      </c>
      <c r="E252" s="342">
        <v>0</v>
      </c>
      <c r="G252" s="333" t="s">
        <v>888</v>
      </c>
      <c r="H252" s="333">
        <v>10</v>
      </c>
      <c r="I252" s="341">
        <f t="shared" si="267"/>
        <v>116</v>
      </c>
      <c r="L252" s="331">
        <v>11629</v>
      </c>
      <c r="N252" s="328">
        <f t="shared" si="268"/>
        <v>11629</v>
      </c>
      <c r="O252" s="328">
        <f t="shared" si="269"/>
        <v>96.908333333333346</v>
      </c>
      <c r="P252" s="328">
        <f t="shared" si="270"/>
        <v>0</v>
      </c>
      <c r="Q252" s="325">
        <f t="shared" si="271"/>
        <v>0</v>
      </c>
      <c r="R252" s="328">
        <f t="shared" si="272"/>
        <v>0</v>
      </c>
      <c r="S252" s="340">
        <v>1</v>
      </c>
      <c r="T252" s="328">
        <f t="shared" si="273"/>
        <v>0</v>
      </c>
      <c r="V252" s="328">
        <f t="shared" si="274"/>
        <v>11629</v>
      </c>
      <c r="W252" s="328">
        <f t="shared" si="275"/>
        <v>11629</v>
      </c>
      <c r="X252" s="340">
        <v>1</v>
      </c>
      <c r="Y252" s="328">
        <f t="shared" si="276"/>
        <v>11629</v>
      </c>
      <c r="Z252" s="328">
        <f t="shared" si="277"/>
        <v>11629</v>
      </c>
      <c r="AA252" s="328">
        <f t="shared" si="278"/>
        <v>0</v>
      </c>
      <c r="AB252" s="328">
        <f t="shared" si="284"/>
        <v>0</v>
      </c>
      <c r="AC252" s="339">
        <f t="shared" si="279"/>
        <v>106.58333333333333</v>
      </c>
      <c r="AD252" s="325">
        <f t="shared" si="280"/>
        <v>122.75</v>
      </c>
      <c r="AE252" s="339">
        <f t="shared" si="281"/>
        <v>116.58333333333333</v>
      </c>
      <c r="AF252" s="325">
        <f t="shared" si="282"/>
        <v>121.75</v>
      </c>
      <c r="AG252" s="338">
        <f t="shared" si="283"/>
        <v>-8.3333333333333329E-2</v>
      </c>
    </row>
    <row r="253" spans="1:33">
      <c r="B253" s="333" t="s">
        <v>938</v>
      </c>
      <c r="C253" s="333">
        <v>106</v>
      </c>
      <c r="D253" s="333">
        <v>8</v>
      </c>
      <c r="E253" s="342">
        <v>0</v>
      </c>
      <c r="G253" s="333" t="s">
        <v>888</v>
      </c>
      <c r="H253" s="333">
        <v>10</v>
      </c>
      <c r="I253" s="341">
        <f t="shared" si="267"/>
        <v>116</v>
      </c>
      <c r="L253" s="331">
        <v>12443</v>
      </c>
      <c r="N253" s="328">
        <f t="shared" si="268"/>
        <v>12443</v>
      </c>
      <c r="O253" s="328">
        <f t="shared" si="269"/>
        <v>103.69166666666666</v>
      </c>
      <c r="P253" s="328">
        <f t="shared" si="270"/>
        <v>0</v>
      </c>
      <c r="Q253" s="325">
        <f t="shared" si="271"/>
        <v>0</v>
      </c>
      <c r="R253" s="328">
        <f t="shared" si="272"/>
        <v>0</v>
      </c>
      <c r="S253" s="340">
        <v>1</v>
      </c>
      <c r="T253" s="328">
        <f t="shared" si="273"/>
        <v>0</v>
      </c>
      <c r="V253" s="328">
        <f t="shared" si="274"/>
        <v>12443</v>
      </c>
      <c r="W253" s="328">
        <f t="shared" si="275"/>
        <v>12443</v>
      </c>
      <c r="X253" s="340">
        <v>1</v>
      </c>
      <c r="Y253" s="328">
        <f t="shared" si="276"/>
        <v>12443</v>
      </c>
      <c r="Z253" s="328">
        <f t="shared" si="277"/>
        <v>12443</v>
      </c>
      <c r="AA253" s="328">
        <f t="shared" si="278"/>
        <v>0</v>
      </c>
      <c r="AB253" s="328">
        <f t="shared" si="284"/>
        <v>0</v>
      </c>
      <c r="AC253" s="339">
        <f t="shared" si="279"/>
        <v>106.58333333333333</v>
      </c>
      <c r="AD253" s="325">
        <f t="shared" si="280"/>
        <v>122.75</v>
      </c>
      <c r="AE253" s="339">
        <f t="shared" si="281"/>
        <v>116.58333333333333</v>
      </c>
      <c r="AF253" s="325">
        <f t="shared" si="282"/>
        <v>121.75</v>
      </c>
      <c r="AG253" s="338">
        <f t="shared" si="283"/>
        <v>-8.3333333333333329E-2</v>
      </c>
    </row>
    <row r="254" spans="1:33">
      <c r="B254" s="333" t="s">
        <v>938</v>
      </c>
      <c r="C254" s="333">
        <v>109</v>
      </c>
      <c r="D254" s="333">
        <v>5</v>
      </c>
      <c r="E254" s="342">
        <v>0</v>
      </c>
      <c r="G254" s="333" t="s">
        <v>888</v>
      </c>
      <c r="H254" s="333">
        <v>10</v>
      </c>
      <c r="I254" s="341">
        <f t="shared" si="267"/>
        <v>119</v>
      </c>
      <c r="L254" s="646">
        <v>9015</v>
      </c>
      <c r="N254" s="328">
        <f t="shared" si="268"/>
        <v>9015</v>
      </c>
      <c r="O254" s="328">
        <f t="shared" si="269"/>
        <v>75.125</v>
      </c>
      <c r="P254" s="328">
        <f t="shared" si="270"/>
        <v>0</v>
      </c>
      <c r="Q254" s="325">
        <f t="shared" si="271"/>
        <v>0</v>
      </c>
      <c r="R254" s="328">
        <f t="shared" si="272"/>
        <v>0</v>
      </c>
      <c r="S254" s="340">
        <v>1</v>
      </c>
      <c r="T254" s="328">
        <f t="shared" si="273"/>
        <v>0</v>
      </c>
      <c r="V254" s="328">
        <f t="shared" si="274"/>
        <v>9015</v>
      </c>
      <c r="W254" s="328">
        <f t="shared" si="275"/>
        <v>9015</v>
      </c>
      <c r="X254" s="340">
        <v>1</v>
      </c>
      <c r="Y254" s="328">
        <f t="shared" si="276"/>
        <v>9015</v>
      </c>
      <c r="Z254" s="328">
        <f t="shared" si="277"/>
        <v>9015</v>
      </c>
      <c r="AA254" s="328">
        <f t="shared" si="278"/>
        <v>0</v>
      </c>
      <c r="AB254" s="328">
        <f t="shared" si="284"/>
        <v>0</v>
      </c>
      <c r="AC254" s="339">
        <f t="shared" si="279"/>
        <v>109.33333333333333</v>
      </c>
      <c r="AD254" s="325">
        <f t="shared" si="280"/>
        <v>122.75</v>
      </c>
      <c r="AE254" s="339">
        <f t="shared" si="281"/>
        <v>119.33333333333333</v>
      </c>
      <c r="AF254" s="325">
        <f t="shared" si="282"/>
        <v>121.75</v>
      </c>
      <c r="AG254" s="338">
        <f t="shared" si="283"/>
        <v>-8.3333333333333329E-2</v>
      </c>
    </row>
    <row r="255" spans="1:33">
      <c r="A255" s="658"/>
      <c r="B255" s="333" t="s">
        <v>941</v>
      </c>
      <c r="C255" s="333">
        <v>112</v>
      </c>
      <c r="D255" s="333">
        <v>12</v>
      </c>
      <c r="E255" s="342">
        <v>0</v>
      </c>
      <c r="G255" s="333" t="s">
        <v>888</v>
      </c>
      <c r="H255" s="333">
        <v>10</v>
      </c>
      <c r="I255" s="341">
        <f t="shared" si="267"/>
        <v>122</v>
      </c>
      <c r="L255" s="646">
        <v>3990</v>
      </c>
      <c r="N255" s="328">
        <f t="shared" si="268"/>
        <v>3990</v>
      </c>
      <c r="O255" s="328">
        <f t="shared" si="269"/>
        <v>33.25</v>
      </c>
      <c r="P255" s="328">
        <f t="shared" si="270"/>
        <v>399</v>
      </c>
      <c r="Q255" s="325">
        <f t="shared" si="271"/>
        <v>0</v>
      </c>
      <c r="R255" s="328">
        <f t="shared" si="272"/>
        <v>399</v>
      </c>
      <c r="S255" s="340">
        <v>1</v>
      </c>
      <c r="T255" s="328">
        <f t="shared" si="273"/>
        <v>399</v>
      </c>
      <c r="V255" s="328">
        <f t="shared" si="274"/>
        <v>3524.4999999999982</v>
      </c>
      <c r="W255" s="328">
        <f t="shared" si="275"/>
        <v>3524.4999999999982</v>
      </c>
      <c r="X255" s="340">
        <v>1</v>
      </c>
      <c r="Y255" s="328">
        <f t="shared" si="276"/>
        <v>3524.4999999999982</v>
      </c>
      <c r="Z255" s="328">
        <f t="shared" si="277"/>
        <v>3923.4999999999982</v>
      </c>
      <c r="AA255" s="328">
        <f t="shared" si="278"/>
        <v>266.00000000000182</v>
      </c>
      <c r="AB255" s="328">
        <f t="shared" si="284"/>
        <v>66.500000000001819</v>
      </c>
      <c r="AC255" s="339">
        <f t="shared" si="279"/>
        <v>112.91666666666667</v>
      </c>
      <c r="AD255" s="325">
        <f t="shared" si="280"/>
        <v>122.75</v>
      </c>
      <c r="AE255" s="339">
        <f t="shared" si="281"/>
        <v>122.91666666666667</v>
      </c>
      <c r="AF255" s="325">
        <f t="shared" si="282"/>
        <v>121.75</v>
      </c>
      <c r="AG255" s="338">
        <f t="shared" si="283"/>
        <v>-8.3333333333333329E-2</v>
      </c>
    </row>
    <row r="256" spans="1:33">
      <c r="A256" s="658"/>
      <c r="B256" s="333" t="s">
        <v>939</v>
      </c>
      <c r="C256" s="333">
        <v>112</v>
      </c>
      <c r="D256" s="333">
        <v>12</v>
      </c>
      <c r="E256" s="342">
        <v>0</v>
      </c>
      <c r="G256" s="333" t="s">
        <v>888</v>
      </c>
      <c r="H256" s="333">
        <v>10</v>
      </c>
      <c r="I256" s="341">
        <f t="shared" si="267"/>
        <v>122</v>
      </c>
      <c r="L256" s="646">
        <v>5160</v>
      </c>
      <c r="N256" s="328">
        <f t="shared" si="268"/>
        <v>5160</v>
      </c>
      <c r="O256" s="328">
        <f t="shared" si="269"/>
        <v>43</v>
      </c>
      <c r="P256" s="328">
        <f t="shared" si="270"/>
        <v>516</v>
      </c>
      <c r="Q256" s="325">
        <f t="shared" si="271"/>
        <v>0</v>
      </c>
      <c r="R256" s="328">
        <f t="shared" si="272"/>
        <v>516</v>
      </c>
      <c r="S256" s="340">
        <v>1</v>
      </c>
      <c r="T256" s="328">
        <f t="shared" si="273"/>
        <v>516</v>
      </c>
      <c r="V256" s="328">
        <f t="shared" si="274"/>
        <v>4557.9999999999973</v>
      </c>
      <c r="W256" s="328">
        <f t="shared" si="275"/>
        <v>4557.9999999999973</v>
      </c>
      <c r="X256" s="340">
        <v>1</v>
      </c>
      <c r="Y256" s="328">
        <f t="shared" si="276"/>
        <v>4557.9999999999973</v>
      </c>
      <c r="Z256" s="328">
        <f t="shared" si="277"/>
        <v>5073.9999999999973</v>
      </c>
      <c r="AA256" s="328">
        <f t="shared" si="278"/>
        <v>344.00000000000273</v>
      </c>
      <c r="AB256" s="328">
        <f t="shared" si="284"/>
        <v>86.000000000002728</v>
      </c>
      <c r="AC256" s="339">
        <f t="shared" si="279"/>
        <v>112.91666666666667</v>
      </c>
      <c r="AD256" s="325">
        <f t="shared" si="280"/>
        <v>122.75</v>
      </c>
      <c r="AE256" s="339">
        <f t="shared" si="281"/>
        <v>122.91666666666667</v>
      </c>
      <c r="AF256" s="325">
        <f t="shared" si="282"/>
        <v>121.75</v>
      </c>
      <c r="AG256" s="338">
        <f t="shared" si="283"/>
        <v>-8.3333333333333329E-2</v>
      </c>
    </row>
    <row r="257" spans="1:33">
      <c r="A257" s="658"/>
      <c r="B257" s="333" t="s">
        <v>938</v>
      </c>
      <c r="C257" s="333">
        <v>113</v>
      </c>
      <c r="D257" s="333">
        <v>7</v>
      </c>
      <c r="E257" s="342">
        <v>0</v>
      </c>
      <c r="G257" s="333" t="s">
        <v>888</v>
      </c>
      <c r="H257" s="333">
        <v>10</v>
      </c>
      <c r="I257" s="341">
        <f t="shared" si="267"/>
        <v>123</v>
      </c>
      <c r="L257" s="646">
        <v>9208</v>
      </c>
      <c r="N257" s="328">
        <f t="shared" si="268"/>
        <v>9208</v>
      </c>
      <c r="O257" s="328">
        <f t="shared" si="269"/>
        <v>76.733333333333334</v>
      </c>
      <c r="P257" s="328">
        <f t="shared" si="270"/>
        <v>920.8</v>
      </c>
      <c r="Q257" s="325">
        <f t="shared" si="271"/>
        <v>0</v>
      </c>
      <c r="R257" s="328">
        <f t="shared" si="272"/>
        <v>920.8</v>
      </c>
      <c r="S257" s="340">
        <v>1</v>
      </c>
      <c r="T257" s="328">
        <f t="shared" si="273"/>
        <v>920.8</v>
      </c>
      <c r="V257" s="328">
        <f t="shared" si="274"/>
        <v>7596.6</v>
      </c>
      <c r="W257" s="328">
        <f t="shared" si="275"/>
        <v>7596.6</v>
      </c>
      <c r="X257" s="340">
        <v>1</v>
      </c>
      <c r="Y257" s="328">
        <f t="shared" si="276"/>
        <v>7596.6</v>
      </c>
      <c r="Z257" s="328">
        <f t="shared" si="277"/>
        <v>8517.4</v>
      </c>
      <c r="AA257" s="328">
        <f t="shared" si="278"/>
        <v>1151</v>
      </c>
      <c r="AB257" s="328">
        <f t="shared" si="284"/>
        <v>690.60000000000036</v>
      </c>
      <c r="AC257" s="339">
        <f t="shared" si="279"/>
        <v>113.5</v>
      </c>
      <c r="AD257" s="325">
        <f t="shared" si="280"/>
        <v>122.75</v>
      </c>
      <c r="AE257" s="339">
        <f t="shared" si="281"/>
        <v>123.5</v>
      </c>
      <c r="AF257" s="325">
        <f t="shared" si="282"/>
        <v>121.75</v>
      </c>
      <c r="AG257" s="338">
        <f t="shared" si="283"/>
        <v>-8.3333333333333329E-2</v>
      </c>
    </row>
    <row r="258" spans="1:33">
      <c r="A258" s="658"/>
      <c r="B258" s="333" t="s">
        <v>938</v>
      </c>
      <c r="C258" s="333">
        <v>114</v>
      </c>
      <c r="D258" s="333">
        <v>5</v>
      </c>
      <c r="E258" s="342">
        <v>0</v>
      </c>
      <c r="G258" s="333" t="s">
        <v>888</v>
      </c>
      <c r="H258" s="333">
        <v>10</v>
      </c>
      <c r="I258" s="341">
        <f t="shared" si="267"/>
        <v>124</v>
      </c>
      <c r="L258" s="646">
        <v>9049</v>
      </c>
      <c r="N258" s="328">
        <f t="shared" si="268"/>
        <v>9049</v>
      </c>
      <c r="O258" s="328">
        <f t="shared" si="269"/>
        <v>75.408333333333331</v>
      </c>
      <c r="P258" s="328">
        <f t="shared" si="270"/>
        <v>904.9</v>
      </c>
      <c r="Q258" s="325">
        <f t="shared" si="271"/>
        <v>0</v>
      </c>
      <c r="R258" s="328">
        <f t="shared" si="272"/>
        <v>904.9</v>
      </c>
      <c r="S258" s="340">
        <v>1</v>
      </c>
      <c r="T258" s="328">
        <f t="shared" si="273"/>
        <v>904.9</v>
      </c>
      <c r="V258" s="328">
        <f t="shared" si="274"/>
        <v>6711.3416666666708</v>
      </c>
      <c r="W258" s="328">
        <f t="shared" si="275"/>
        <v>6711.3416666666708</v>
      </c>
      <c r="X258" s="340">
        <v>1</v>
      </c>
      <c r="Y258" s="328">
        <f t="shared" si="276"/>
        <v>6711.3416666666708</v>
      </c>
      <c r="Z258" s="328">
        <f t="shared" si="277"/>
        <v>7616.2416666666704</v>
      </c>
      <c r="AA258" s="328">
        <f t="shared" si="278"/>
        <v>1885.2083333333294</v>
      </c>
      <c r="AB258" s="328">
        <f t="shared" si="284"/>
        <v>1432.7583333333296</v>
      </c>
      <c r="AC258" s="339">
        <f t="shared" si="279"/>
        <v>114.33333333333333</v>
      </c>
      <c r="AD258" s="325">
        <f t="shared" si="280"/>
        <v>122.75</v>
      </c>
      <c r="AE258" s="339">
        <f t="shared" si="281"/>
        <v>124.33333333333333</v>
      </c>
      <c r="AF258" s="325">
        <f t="shared" si="282"/>
        <v>121.75</v>
      </c>
      <c r="AG258" s="338">
        <f t="shared" si="283"/>
        <v>-8.3333333333333329E-2</v>
      </c>
    </row>
    <row r="259" spans="1:33">
      <c r="A259" s="658"/>
      <c r="B259" s="333" t="s">
        <v>940</v>
      </c>
      <c r="C259" s="333">
        <v>115</v>
      </c>
      <c r="D259" s="333">
        <v>11</v>
      </c>
      <c r="E259" s="342">
        <v>0</v>
      </c>
      <c r="G259" s="333" t="s">
        <v>888</v>
      </c>
      <c r="H259" s="333">
        <v>10</v>
      </c>
      <c r="I259" s="341">
        <f t="shared" si="267"/>
        <v>125</v>
      </c>
      <c r="L259" s="646">
        <v>10662</v>
      </c>
      <c r="N259" s="328">
        <f t="shared" si="268"/>
        <v>10662</v>
      </c>
      <c r="O259" s="328">
        <f t="shared" si="269"/>
        <v>88.850000000000009</v>
      </c>
      <c r="P259" s="328">
        <f t="shared" si="270"/>
        <v>1066.2</v>
      </c>
      <c r="Q259" s="325">
        <f t="shared" si="271"/>
        <v>0</v>
      </c>
      <c r="R259" s="328">
        <f t="shared" si="272"/>
        <v>1066.2</v>
      </c>
      <c r="S259" s="340">
        <v>1</v>
      </c>
      <c r="T259" s="328">
        <f t="shared" si="273"/>
        <v>1066.2</v>
      </c>
      <c r="V259" s="328">
        <f t="shared" si="274"/>
        <v>6308.3500000000058</v>
      </c>
      <c r="W259" s="328">
        <f t="shared" si="275"/>
        <v>6308.3500000000058</v>
      </c>
      <c r="X259" s="340">
        <v>1</v>
      </c>
      <c r="Y259" s="328">
        <f t="shared" si="276"/>
        <v>6308.3500000000058</v>
      </c>
      <c r="Z259" s="328">
        <f t="shared" si="277"/>
        <v>7374.5500000000056</v>
      </c>
      <c r="AA259" s="328">
        <f t="shared" si="278"/>
        <v>3820.5499999999943</v>
      </c>
      <c r="AB259" s="328">
        <f t="shared" si="284"/>
        <v>3287.4499999999944</v>
      </c>
      <c r="AC259" s="339">
        <f t="shared" si="279"/>
        <v>115.83333333333333</v>
      </c>
      <c r="AD259" s="325">
        <f t="shared" si="280"/>
        <v>122.75</v>
      </c>
      <c r="AE259" s="339">
        <f t="shared" si="281"/>
        <v>125.83333333333333</v>
      </c>
      <c r="AF259" s="325">
        <f t="shared" si="282"/>
        <v>121.75</v>
      </c>
      <c r="AG259" s="338">
        <f t="shared" si="283"/>
        <v>-8.3333333333333329E-2</v>
      </c>
    </row>
    <row r="260" spans="1:33">
      <c r="A260" s="658"/>
      <c r="B260" s="333" t="s">
        <v>939</v>
      </c>
      <c r="C260" s="333">
        <v>116</v>
      </c>
      <c r="D260" s="333">
        <v>6</v>
      </c>
      <c r="E260" s="342">
        <v>0</v>
      </c>
      <c r="G260" s="333" t="s">
        <v>888</v>
      </c>
      <c r="H260" s="333">
        <v>10</v>
      </c>
      <c r="I260" s="341">
        <f t="shared" si="267"/>
        <v>126</v>
      </c>
      <c r="L260" s="646">
        <v>5210</v>
      </c>
      <c r="N260" s="328">
        <f t="shared" si="268"/>
        <v>5210</v>
      </c>
      <c r="O260" s="328">
        <f t="shared" si="269"/>
        <v>43.416666666666664</v>
      </c>
      <c r="P260" s="328">
        <f t="shared" si="270"/>
        <v>521</v>
      </c>
      <c r="Q260" s="325">
        <f t="shared" si="271"/>
        <v>0</v>
      </c>
      <c r="R260" s="328">
        <f t="shared" si="272"/>
        <v>521</v>
      </c>
      <c r="S260" s="340">
        <v>1</v>
      </c>
      <c r="T260" s="328">
        <f t="shared" si="273"/>
        <v>521</v>
      </c>
      <c r="V260" s="328">
        <f t="shared" si="274"/>
        <v>2778.6666666666642</v>
      </c>
      <c r="W260" s="328">
        <f t="shared" si="275"/>
        <v>2778.6666666666642</v>
      </c>
      <c r="X260" s="340">
        <v>1</v>
      </c>
      <c r="Y260" s="328">
        <f t="shared" si="276"/>
        <v>2778.6666666666642</v>
      </c>
      <c r="Z260" s="328">
        <f t="shared" si="277"/>
        <v>3299.6666666666642</v>
      </c>
      <c r="AA260" s="328">
        <f t="shared" si="278"/>
        <v>2170.8333333333358</v>
      </c>
      <c r="AB260" s="328">
        <f t="shared" si="284"/>
        <v>1910.3333333333358</v>
      </c>
      <c r="AC260" s="339">
        <f t="shared" si="279"/>
        <v>116.41666666666667</v>
      </c>
      <c r="AD260" s="325">
        <f t="shared" si="280"/>
        <v>122.75</v>
      </c>
      <c r="AE260" s="339">
        <f t="shared" si="281"/>
        <v>126.41666666666667</v>
      </c>
      <c r="AF260" s="325">
        <f t="shared" si="282"/>
        <v>121.75</v>
      </c>
      <c r="AG260" s="338">
        <f t="shared" si="283"/>
        <v>-8.3333333333333329E-2</v>
      </c>
    </row>
    <row r="261" spans="1:33">
      <c r="A261" s="658"/>
      <c r="B261" s="333" t="s">
        <v>939</v>
      </c>
      <c r="C261" s="333">
        <v>116</v>
      </c>
      <c r="D261" s="333">
        <v>6</v>
      </c>
      <c r="E261" s="342">
        <v>0</v>
      </c>
      <c r="G261" s="333" t="s">
        <v>888</v>
      </c>
      <c r="H261" s="333">
        <v>10</v>
      </c>
      <c r="I261" s="341">
        <f t="shared" si="267"/>
        <v>126</v>
      </c>
      <c r="L261" s="646">
        <v>5210</v>
      </c>
      <c r="N261" s="328">
        <f t="shared" si="268"/>
        <v>5210</v>
      </c>
      <c r="O261" s="328">
        <f t="shared" si="269"/>
        <v>43.416666666666664</v>
      </c>
      <c r="P261" s="328">
        <f t="shared" si="270"/>
        <v>521</v>
      </c>
      <c r="Q261" s="325">
        <f t="shared" si="271"/>
        <v>0</v>
      </c>
      <c r="R261" s="328">
        <f t="shared" si="272"/>
        <v>521</v>
      </c>
      <c r="S261" s="340">
        <v>1</v>
      </c>
      <c r="T261" s="328">
        <f t="shared" si="273"/>
        <v>521</v>
      </c>
      <c r="V261" s="328">
        <f t="shared" si="274"/>
        <v>2778.6666666666642</v>
      </c>
      <c r="W261" s="328">
        <f t="shared" si="275"/>
        <v>2778.6666666666642</v>
      </c>
      <c r="X261" s="340">
        <v>1</v>
      </c>
      <c r="Y261" s="328">
        <f t="shared" si="276"/>
        <v>2778.6666666666642</v>
      </c>
      <c r="Z261" s="328">
        <f t="shared" si="277"/>
        <v>3299.6666666666642</v>
      </c>
      <c r="AA261" s="328">
        <f t="shared" si="278"/>
        <v>2170.8333333333358</v>
      </c>
      <c r="AB261" s="328">
        <f t="shared" si="284"/>
        <v>1910.3333333333358</v>
      </c>
      <c r="AC261" s="339">
        <f t="shared" si="279"/>
        <v>116.41666666666667</v>
      </c>
      <c r="AD261" s="325">
        <f t="shared" si="280"/>
        <v>122.75</v>
      </c>
      <c r="AE261" s="339">
        <f t="shared" si="281"/>
        <v>126.41666666666667</v>
      </c>
      <c r="AF261" s="325">
        <f t="shared" si="282"/>
        <v>121.75</v>
      </c>
      <c r="AG261" s="338">
        <f t="shared" si="283"/>
        <v>-8.3333333333333329E-2</v>
      </c>
    </row>
    <row r="262" spans="1:33">
      <c r="A262" s="658"/>
      <c r="B262" s="333" t="s">
        <v>938</v>
      </c>
      <c r="C262" s="333">
        <v>116</v>
      </c>
      <c r="D262" s="333">
        <v>7</v>
      </c>
      <c r="E262" s="342">
        <v>0</v>
      </c>
      <c r="G262" s="333" t="s">
        <v>888</v>
      </c>
      <c r="H262" s="333">
        <v>10</v>
      </c>
      <c r="I262" s="341">
        <f t="shared" ref="I262:I267" si="285">+C262+H262</f>
        <v>126</v>
      </c>
      <c r="L262" s="646">
        <v>9630</v>
      </c>
      <c r="N262" s="328">
        <f t="shared" ref="N262:N267" si="286">L262-L262*E262</f>
        <v>9630</v>
      </c>
      <c r="O262" s="328">
        <f t="shared" ref="O262:O267" si="287">N262/H262/12</f>
        <v>80.25</v>
      </c>
      <c r="P262" s="328">
        <f t="shared" ref="P262:P267" si="288">IF(M262&gt;0,0,IF(OR(AC262&gt;AD262,AE262&lt;AF262),0,IF(AND(AE262&gt;=AF262,AE262&lt;=AD262),O262*((AE262-AF262)*12),IF(AND(AF262&lt;=AC262,AD262&gt;=AC262),((AD262-AC262)*12)*O262,IF(AE262&gt;AD262,12*O262,0)))))</f>
        <v>963</v>
      </c>
      <c r="Q262" s="325">
        <f t="shared" ref="Q262:Q267" si="289">IF(M262=0,0,IF(AND(AG262&gt;=AF262,AG262&lt;=AE262),((AG262-AF262)*12)*O262,0))</f>
        <v>0</v>
      </c>
      <c r="R262" s="328">
        <f t="shared" ref="R262:R267" si="290">IF(Q262&gt;0,Q262,P262)</f>
        <v>963</v>
      </c>
      <c r="S262" s="340">
        <v>1</v>
      </c>
      <c r="T262" s="328">
        <f t="shared" ref="T262:T267" si="291">S262*SUM(P262:Q262)</f>
        <v>963</v>
      </c>
      <c r="V262" s="328">
        <f t="shared" ref="V262:V267" si="292">IF(AC262&gt;AD262,0,IF(AE262&lt;AF262,N262,IF(AND(AE262&gt;=AF262,AE262&lt;=AD262),(N262-R262),IF(AND(AF262&lt;=AC262,AD262&gt;=AC262),0,IF(AE262&gt;AD262,((AF262-AC262)*12)*O262,0)))))</f>
        <v>5055.75</v>
      </c>
      <c r="W262" s="328">
        <f t="shared" ref="W262:W267" si="293">V262*S262</f>
        <v>5055.75</v>
      </c>
      <c r="X262" s="340">
        <v>1</v>
      </c>
      <c r="Y262" s="328">
        <f t="shared" ref="Y262:Y267" si="294">W262*X262</f>
        <v>5055.75</v>
      </c>
      <c r="Z262" s="328">
        <f t="shared" ref="Z262:Z267" si="295">IF(M262&gt;0,0,Y262+T262*X262)*X262</f>
        <v>6018.75</v>
      </c>
      <c r="AA262" s="328">
        <f t="shared" ref="AA262:AA267" si="296">IF(M262&gt;0,(L262-Y262)/2,IF(AC262&gt;=AF262,(((L262*S262)*X262)-Z262)/2,((((L262*S262)*X262)-Y262)+(((L262*S262)*X262)-Z262))/2))</f>
        <v>4092.75</v>
      </c>
      <c r="AB262" s="328">
        <f t="shared" ref="AB262:AB267" si="297">L262-Z262</f>
        <v>3611.25</v>
      </c>
      <c r="AC262" s="339">
        <f t="shared" si="279"/>
        <v>116.5</v>
      </c>
      <c r="AD262" s="325">
        <f t="shared" si="280"/>
        <v>122.75</v>
      </c>
      <c r="AE262" s="339">
        <f t="shared" si="281"/>
        <v>126.5</v>
      </c>
      <c r="AF262" s="325">
        <f t="shared" si="282"/>
        <v>121.75</v>
      </c>
      <c r="AG262" s="338">
        <f t="shared" si="283"/>
        <v>-8.3333333333333329E-2</v>
      </c>
    </row>
    <row r="263" spans="1:33">
      <c r="A263" s="658"/>
      <c r="B263" s="333" t="s">
        <v>939</v>
      </c>
      <c r="C263" s="333">
        <v>120</v>
      </c>
      <c r="D263" s="333">
        <v>4</v>
      </c>
      <c r="E263" s="342">
        <v>0</v>
      </c>
      <c r="G263" s="333" t="s">
        <v>888</v>
      </c>
      <c r="H263" s="333">
        <v>10</v>
      </c>
      <c r="I263" s="341">
        <f t="shared" si="285"/>
        <v>130</v>
      </c>
      <c r="L263" s="646">
        <v>5597</v>
      </c>
      <c r="N263" s="328">
        <f t="shared" si="286"/>
        <v>5597</v>
      </c>
      <c r="O263" s="328">
        <f t="shared" si="287"/>
        <v>46.641666666666673</v>
      </c>
      <c r="P263" s="328">
        <f t="shared" si="288"/>
        <v>559.70000000000005</v>
      </c>
      <c r="Q263" s="325">
        <f t="shared" si="289"/>
        <v>0</v>
      </c>
      <c r="R263" s="328">
        <f t="shared" si="290"/>
        <v>559.70000000000005</v>
      </c>
      <c r="S263" s="340">
        <v>1</v>
      </c>
      <c r="T263" s="328">
        <f t="shared" si="291"/>
        <v>559.70000000000005</v>
      </c>
      <c r="V263" s="328">
        <f t="shared" si="292"/>
        <v>839.55000000000007</v>
      </c>
      <c r="W263" s="328">
        <f t="shared" si="293"/>
        <v>839.55000000000007</v>
      </c>
      <c r="X263" s="340">
        <v>1</v>
      </c>
      <c r="Y263" s="328">
        <f t="shared" si="294"/>
        <v>839.55000000000007</v>
      </c>
      <c r="Z263" s="328">
        <f t="shared" si="295"/>
        <v>1399.25</v>
      </c>
      <c r="AA263" s="328">
        <f t="shared" si="296"/>
        <v>4477.6000000000004</v>
      </c>
      <c r="AB263" s="328">
        <f t="shared" si="297"/>
        <v>4197.75</v>
      </c>
      <c r="AC263" s="339">
        <f t="shared" si="279"/>
        <v>120.25</v>
      </c>
      <c r="AD263" s="325">
        <f t="shared" si="280"/>
        <v>122.75</v>
      </c>
      <c r="AE263" s="339">
        <f t="shared" si="281"/>
        <v>130.25</v>
      </c>
      <c r="AF263" s="325">
        <f t="shared" si="282"/>
        <v>121.75</v>
      </c>
      <c r="AG263" s="338">
        <f t="shared" si="283"/>
        <v>-8.3333333333333329E-2</v>
      </c>
    </row>
    <row r="264" spans="1:33">
      <c r="A264" s="658"/>
      <c r="B264" s="333" t="s">
        <v>1337</v>
      </c>
      <c r="C264" s="333">
        <v>120</v>
      </c>
      <c r="D264" s="333">
        <v>10</v>
      </c>
      <c r="E264" s="342">
        <v>0</v>
      </c>
      <c r="G264" s="333" t="s">
        <v>888</v>
      </c>
      <c r="H264" s="333">
        <v>10</v>
      </c>
      <c r="I264" s="341">
        <f t="shared" si="285"/>
        <v>130</v>
      </c>
      <c r="L264" s="646">
        <v>2351</v>
      </c>
      <c r="N264" s="328">
        <f t="shared" si="286"/>
        <v>2351</v>
      </c>
      <c r="O264" s="328">
        <f t="shared" si="287"/>
        <v>19.591666666666665</v>
      </c>
      <c r="P264" s="328">
        <f t="shared" si="288"/>
        <v>235.09999999999997</v>
      </c>
      <c r="Q264" s="325">
        <f t="shared" si="289"/>
        <v>0</v>
      </c>
      <c r="R264" s="328">
        <f t="shared" si="290"/>
        <v>235.09999999999997</v>
      </c>
      <c r="S264" s="340">
        <v>1</v>
      </c>
      <c r="T264" s="328">
        <f t="shared" si="291"/>
        <v>235.09999999999997</v>
      </c>
      <c r="V264" s="328">
        <f t="shared" si="292"/>
        <v>235.09999999999997</v>
      </c>
      <c r="W264" s="328">
        <f t="shared" si="293"/>
        <v>235.09999999999997</v>
      </c>
      <c r="X264" s="340">
        <v>1</v>
      </c>
      <c r="Y264" s="328">
        <f t="shared" si="294"/>
        <v>235.09999999999997</v>
      </c>
      <c r="Z264" s="328">
        <f t="shared" si="295"/>
        <v>470.19999999999993</v>
      </c>
      <c r="AA264" s="328">
        <f t="shared" si="296"/>
        <v>1998.3500000000001</v>
      </c>
      <c r="AB264" s="328">
        <f t="shared" si="297"/>
        <v>1880.8000000000002</v>
      </c>
      <c r="AC264" s="339">
        <f t="shared" si="279"/>
        <v>120.75</v>
      </c>
      <c r="AD264" s="325">
        <f t="shared" si="280"/>
        <v>122.75</v>
      </c>
      <c r="AE264" s="339">
        <f t="shared" si="281"/>
        <v>130.75</v>
      </c>
      <c r="AF264" s="325">
        <f t="shared" si="282"/>
        <v>121.75</v>
      </c>
      <c r="AG264" s="338">
        <f t="shared" si="283"/>
        <v>-8.3333333333333329E-2</v>
      </c>
    </row>
    <row r="265" spans="1:33">
      <c r="A265" s="658"/>
      <c r="B265" s="333" t="s">
        <v>938</v>
      </c>
      <c r="C265" s="333">
        <v>121</v>
      </c>
      <c r="D265" s="333">
        <v>5</v>
      </c>
      <c r="E265" s="342">
        <v>0</v>
      </c>
      <c r="G265" s="333" t="s">
        <v>888</v>
      </c>
      <c r="H265" s="333">
        <v>10</v>
      </c>
      <c r="I265" s="341">
        <f t="shared" si="285"/>
        <v>131</v>
      </c>
      <c r="L265" s="646">
        <v>15380</v>
      </c>
      <c r="N265" s="328">
        <f t="shared" si="286"/>
        <v>15380</v>
      </c>
      <c r="O265" s="328">
        <f t="shared" si="287"/>
        <v>128.16666666666666</v>
      </c>
      <c r="P265" s="328">
        <f t="shared" si="288"/>
        <v>1538</v>
      </c>
      <c r="Q265" s="325">
        <f t="shared" si="289"/>
        <v>0</v>
      </c>
      <c r="R265" s="328">
        <f t="shared" si="290"/>
        <v>1538</v>
      </c>
      <c r="S265" s="340">
        <v>1</v>
      </c>
      <c r="T265" s="328">
        <f t="shared" si="291"/>
        <v>1538</v>
      </c>
      <c r="V265" s="328">
        <f t="shared" si="292"/>
        <v>640.83333333334053</v>
      </c>
      <c r="W265" s="328">
        <f t="shared" si="293"/>
        <v>640.83333333334053</v>
      </c>
      <c r="X265" s="340">
        <v>1</v>
      </c>
      <c r="Y265" s="328">
        <f t="shared" si="294"/>
        <v>640.83333333334053</v>
      </c>
      <c r="Z265" s="328">
        <f t="shared" si="295"/>
        <v>2178.8333333333403</v>
      </c>
      <c r="AA265" s="328">
        <f t="shared" si="296"/>
        <v>13970.166666666661</v>
      </c>
      <c r="AB265" s="328">
        <f t="shared" si="297"/>
        <v>13201.166666666661</v>
      </c>
      <c r="AC265" s="339">
        <f t="shared" si="279"/>
        <v>121.33333333333333</v>
      </c>
      <c r="AD265" s="325">
        <f t="shared" si="280"/>
        <v>122.75</v>
      </c>
      <c r="AE265" s="339">
        <f t="shared" si="281"/>
        <v>131.33333333333334</v>
      </c>
      <c r="AF265" s="325">
        <f t="shared" si="282"/>
        <v>121.75</v>
      </c>
      <c r="AG265" s="338">
        <f t="shared" si="283"/>
        <v>-8.3333333333333329E-2</v>
      </c>
    </row>
    <row r="266" spans="1:33">
      <c r="A266" s="658"/>
      <c r="B266" s="333" t="s">
        <v>940</v>
      </c>
      <c r="C266" s="333">
        <v>122</v>
      </c>
      <c r="D266" s="333">
        <v>3</v>
      </c>
      <c r="E266" s="342">
        <v>0</v>
      </c>
      <c r="G266" s="333" t="s">
        <v>888</v>
      </c>
      <c r="H266" s="333">
        <v>10</v>
      </c>
      <c r="I266" s="341">
        <f t="shared" si="285"/>
        <v>132</v>
      </c>
      <c r="L266" s="646">
        <v>13651</v>
      </c>
      <c r="N266" s="328">
        <f t="shared" si="286"/>
        <v>13651</v>
      </c>
      <c r="O266" s="328">
        <f t="shared" si="287"/>
        <v>113.75833333333333</v>
      </c>
      <c r="P266" s="328">
        <f t="shared" si="288"/>
        <v>796.3083333333268</v>
      </c>
      <c r="Q266" s="325">
        <f t="shared" si="289"/>
        <v>0</v>
      </c>
      <c r="R266" s="328">
        <f t="shared" si="290"/>
        <v>796.3083333333268</v>
      </c>
      <c r="S266" s="340">
        <v>1</v>
      </c>
      <c r="T266" s="328">
        <f t="shared" si="291"/>
        <v>796.3083333333268</v>
      </c>
      <c r="V266" s="328">
        <f t="shared" si="292"/>
        <v>0</v>
      </c>
      <c r="W266" s="328">
        <f t="shared" si="293"/>
        <v>0</v>
      </c>
      <c r="X266" s="340">
        <v>1</v>
      </c>
      <c r="Y266" s="328">
        <f t="shared" si="294"/>
        <v>0</v>
      </c>
      <c r="Z266" s="328">
        <f t="shared" si="295"/>
        <v>796.3083333333268</v>
      </c>
      <c r="AA266" s="328">
        <f t="shared" si="296"/>
        <v>6427.3458333333365</v>
      </c>
      <c r="AB266" s="328">
        <f t="shared" si="297"/>
        <v>12854.691666666673</v>
      </c>
      <c r="AC266" s="339">
        <f t="shared" si="279"/>
        <v>122.16666666666667</v>
      </c>
      <c r="AD266" s="325">
        <f t="shared" si="280"/>
        <v>122.75</v>
      </c>
      <c r="AE266" s="339">
        <f t="shared" si="281"/>
        <v>132.16666666666666</v>
      </c>
      <c r="AF266" s="325">
        <f t="shared" si="282"/>
        <v>121.75</v>
      </c>
      <c r="AG266" s="338">
        <f t="shared" si="283"/>
        <v>-8.3333333333333329E-2</v>
      </c>
    </row>
    <row r="267" spans="1:33">
      <c r="A267" s="658"/>
      <c r="B267" s="333" t="s">
        <v>938</v>
      </c>
      <c r="C267" s="333">
        <v>122</v>
      </c>
      <c r="D267" s="333">
        <v>3</v>
      </c>
      <c r="E267" s="342">
        <v>0</v>
      </c>
      <c r="G267" s="333" t="s">
        <v>888</v>
      </c>
      <c r="H267" s="333">
        <v>10</v>
      </c>
      <c r="I267" s="341">
        <f t="shared" si="285"/>
        <v>132</v>
      </c>
      <c r="L267" s="646">
        <v>15593</v>
      </c>
      <c r="N267" s="328">
        <f t="shared" si="286"/>
        <v>15593</v>
      </c>
      <c r="O267" s="328">
        <f t="shared" si="287"/>
        <v>129.94166666666666</v>
      </c>
      <c r="P267" s="328">
        <f t="shared" si="288"/>
        <v>909.59166666665931</v>
      </c>
      <c r="Q267" s="325">
        <f t="shared" si="289"/>
        <v>0</v>
      </c>
      <c r="R267" s="328">
        <f t="shared" si="290"/>
        <v>909.59166666665931</v>
      </c>
      <c r="S267" s="340">
        <v>1</v>
      </c>
      <c r="T267" s="328">
        <f t="shared" si="291"/>
        <v>909.59166666665931</v>
      </c>
      <c r="V267" s="328">
        <f t="shared" si="292"/>
        <v>0</v>
      </c>
      <c r="W267" s="328">
        <f t="shared" si="293"/>
        <v>0</v>
      </c>
      <c r="X267" s="340">
        <v>1</v>
      </c>
      <c r="Y267" s="328">
        <f t="shared" si="294"/>
        <v>0</v>
      </c>
      <c r="Z267" s="328">
        <f t="shared" si="295"/>
        <v>909.59166666665931</v>
      </c>
      <c r="AA267" s="328">
        <f t="shared" si="296"/>
        <v>7341.7041666666701</v>
      </c>
      <c r="AB267" s="328">
        <f t="shared" si="297"/>
        <v>14683.40833333334</v>
      </c>
      <c r="AC267" s="339">
        <f t="shared" si="279"/>
        <v>122.16666666666667</v>
      </c>
      <c r="AD267" s="325">
        <f t="shared" si="280"/>
        <v>122.75</v>
      </c>
      <c r="AE267" s="339">
        <f t="shared" si="281"/>
        <v>132.16666666666666</v>
      </c>
      <c r="AF267" s="325">
        <f t="shared" si="282"/>
        <v>121.75</v>
      </c>
      <c r="AG267" s="338">
        <f t="shared" si="283"/>
        <v>-8.3333333333333329E-2</v>
      </c>
    </row>
    <row r="268" spans="1:33">
      <c r="A268" s="658"/>
      <c r="B268" s="333" t="s">
        <v>942</v>
      </c>
      <c r="C268" s="333">
        <v>122</v>
      </c>
      <c r="D268" s="333">
        <v>4</v>
      </c>
      <c r="E268" s="342">
        <v>0</v>
      </c>
      <c r="G268" s="333" t="s">
        <v>888</v>
      </c>
      <c r="H268" s="333">
        <v>10</v>
      </c>
      <c r="I268" s="341">
        <f t="shared" si="267"/>
        <v>132</v>
      </c>
      <c r="L268" s="646">
        <v>12557</v>
      </c>
      <c r="N268" s="328">
        <f t="shared" si="268"/>
        <v>12557</v>
      </c>
      <c r="O268" s="328">
        <f t="shared" si="269"/>
        <v>104.64166666666667</v>
      </c>
      <c r="P268" s="328">
        <f t="shared" si="270"/>
        <v>627.85</v>
      </c>
      <c r="Q268" s="325">
        <f t="shared" si="271"/>
        <v>0</v>
      </c>
      <c r="R268" s="328">
        <f t="shared" si="272"/>
        <v>627.85</v>
      </c>
      <c r="S268" s="340">
        <v>1</v>
      </c>
      <c r="T268" s="328">
        <f t="shared" si="273"/>
        <v>627.85</v>
      </c>
      <c r="V268" s="328">
        <f t="shared" si="274"/>
        <v>0</v>
      </c>
      <c r="W268" s="328">
        <f t="shared" si="275"/>
        <v>0</v>
      </c>
      <c r="X268" s="340">
        <v>1</v>
      </c>
      <c r="Y268" s="328">
        <f t="shared" si="276"/>
        <v>0</v>
      </c>
      <c r="Z268" s="328">
        <f t="shared" si="277"/>
        <v>627.85</v>
      </c>
      <c r="AA268" s="328">
        <f t="shared" si="278"/>
        <v>5964.5749999999998</v>
      </c>
      <c r="AB268" s="328">
        <f t="shared" si="284"/>
        <v>11929.15</v>
      </c>
      <c r="AC268" s="339">
        <f t="shared" si="279"/>
        <v>122.25</v>
      </c>
      <c r="AD268" s="325">
        <f t="shared" si="280"/>
        <v>122.75</v>
      </c>
      <c r="AE268" s="339">
        <f t="shared" si="281"/>
        <v>132.25</v>
      </c>
      <c r="AF268" s="325">
        <f t="shared" si="282"/>
        <v>121.75</v>
      </c>
      <c r="AG268" s="338">
        <f t="shared" si="283"/>
        <v>-8.3333333333333329E-2</v>
      </c>
    </row>
    <row r="269" spans="1:33">
      <c r="I269" s="330"/>
      <c r="L269" s="328"/>
      <c r="N269" s="328"/>
      <c r="P269" s="353"/>
      <c r="Q269" s="353"/>
      <c r="R269" s="352"/>
      <c r="T269" s="329"/>
      <c r="Y269" s="328"/>
      <c r="Z269" s="328"/>
      <c r="AA269" s="329"/>
      <c r="AB269" s="329"/>
    </row>
    <row r="270" spans="1:33" ht="16.5" thickBot="1">
      <c r="B270" s="333" t="s">
        <v>937</v>
      </c>
      <c r="I270" s="330"/>
      <c r="L270" s="328">
        <f>SUM(L236:L268)</f>
        <v>230731</v>
      </c>
      <c r="N270" s="328">
        <f>SUM(N236:N269)</f>
        <v>230731</v>
      </c>
      <c r="P270" s="679">
        <f t="shared" ref="P270:R270" si="298">SUM(P236:P269)</f>
        <v>10478.449999999986</v>
      </c>
      <c r="Q270" s="679">
        <f t="shared" si="298"/>
        <v>0</v>
      </c>
      <c r="R270" s="343">
        <f t="shared" si="298"/>
        <v>10478.449999999986</v>
      </c>
      <c r="T270" s="335">
        <f>SUM(T236:T269)</f>
        <v>10478.449999999986</v>
      </c>
      <c r="V270" s="328">
        <f>SUM(V236:V269)</f>
        <v>148510.35833333334</v>
      </c>
      <c r="W270" s="328">
        <f>SUM(W236:W269)</f>
        <v>148510.35833333334</v>
      </c>
      <c r="Y270" s="328">
        <f>SUM(Y236:Y269)</f>
        <v>148510.35833333334</v>
      </c>
      <c r="Z270" s="328">
        <f>SUM(Z236:Z269)</f>
        <v>158988.80833333332</v>
      </c>
      <c r="AA270" s="335">
        <f>SUM(AA236:AA269)</f>
        <v>56080.916666666664</v>
      </c>
      <c r="AB270" s="335">
        <f>SUM(AB236:AB269)</f>
        <v>71742.191666666666</v>
      </c>
    </row>
    <row r="271" spans="1:33" ht="16.5" thickTop="1">
      <c r="B271" s="333"/>
      <c r="I271" s="330" t="s">
        <v>886</v>
      </c>
      <c r="L271" s="334">
        <f>SUM(L236:L265)</f>
        <v>188930</v>
      </c>
      <c r="N271" s="328"/>
      <c r="R271" s="328"/>
      <c r="T271" s="343"/>
      <c r="Y271" s="328"/>
      <c r="Z271" s="328"/>
      <c r="AA271" s="343"/>
      <c r="AB271" s="343"/>
    </row>
    <row r="272" spans="1:33">
      <c r="B272" s="333"/>
      <c r="I272" s="330"/>
      <c r="L272" s="334"/>
      <c r="N272" s="328"/>
      <c r="R272" s="328"/>
      <c r="T272" s="343"/>
      <c r="Y272" s="328"/>
      <c r="Z272" s="328"/>
      <c r="AA272" s="343"/>
      <c r="AB272" s="343"/>
    </row>
    <row r="273" spans="2:33">
      <c r="B273" s="333" t="s">
        <v>936</v>
      </c>
      <c r="I273" s="330"/>
      <c r="L273" s="334"/>
      <c r="N273" s="328"/>
      <c r="R273" s="328"/>
      <c r="T273" s="343"/>
      <c r="Y273" s="328"/>
      <c r="Z273" s="328"/>
      <c r="AA273" s="343"/>
      <c r="AB273" s="343"/>
    </row>
    <row r="274" spans="2:33">
      <c r="B274" s="333" t="s">
        <v>935</v>
      </c>
      <c r="C274" s="333">
        <v>118</v>
      </c>
      <c r="D274" s="333">
        <v>3</v>
      </c>
      <c r="E274" s="702">
        <v>0</v>
      </c>
      <c r="G274" s="333" t="s">
        <v>888</v>
      </c>
      <c r="H274" s="333">
        <v>10</v>
      </c>
      <c r="I274" s="341">
        <f>+C274+H274</f>
        <v>128</v>
      </c>
      <c r="L274" s="646">
        <v>12251</v>
      </c>
      <c r="N274" s="328">
        <f>L274-L274*E274</f>
        <v>12251</v>
      </c>
      <c r="O274" s="328">
        <f>N274/H274/12</f>
        <v>102.09166666666665</v>
      </c>
      <c r="P274" s="328">
        <f t="shared" ref="P274:P275" si="299">IF(M274&gt;0,0,IF(OR(AC274&gt;AD274,AE274&lt;AF274),0,IF(AND(AE274&gt;=AF274,AE274&lt;=AD274),O274*((AE274-AF274)*12),IF(AND(AF274&lt;=AC274,AD274&gt;=AC274),((AD274-AC274)*12)*O274,IF(AE274&gt;AD274,12*O274,0)))))</f>
        <v>1225.0999999999999</v>
      </c>
      <c r="Q274" s="325">
        <f>IF(M274=0,0,IF(AND(AG274&gt;=AF274,AG274&lt;=AE274),((AG274-AF274)*12)*O274,0))</f>
        <v>0</v>
      </c>
      <c r="R274" s="328">
        <f>IF(Q274&gt;0,Q274,P274)</f>
        <v>1225.0999999999999</v>
      </c>
      <c r="S274" s="417">
        <v>1</v>
      </c>
      <c r="T274" s="328">
        <f>S274*SUM(P274:Q274)</f>
        <v>1225.0999999999999</v>
      </c>
      <c r="V274" s="328">
        <f>IF(AC274&gt;AD274,0,IF(AE274&lt;AF274,N274,IF(AND(AE274&gt;=AF274,AE274&lt;=AD274),(N274-R274),IF(AND(AF274&lt;=AC274,AD274&gt;=AC274),0,IF(AE274&gt;AD274,((AF274-AC274)*12)*O274,0)))))</f>
        <v>4389.9416666666602</v>
      </c>
      <c r="W274" s="328">
        <f>V274*S274</f>
        <v>4389.9416666666602</v>
      </c>
      <c r="X274" s="340">
        <v>1</v>
      </c>
      <c r="Y274" s="328">
        <f>W274*X274</f>
        <v>4389.9416666666602</v>
      </c>
      <c r="Z274" s="328">
        <f>IF(M274&gt;0,0,Y274+T274*X274)*X274</f>
        <v>5615.0416666666606</v>
      </c>
      <c r="AA274" s="328">
        <f>IF(M274&gt;0,(L274-Y274)/2,IF(AC274&gt;=AF274,(((L274*S274)*X274)-Z274)/2,((((L274*S274)*X274)-Y274)+(((L274*S274)*X274)-Z274))/2))</f>
        <v>7248.5083333333396</v>
      </c>
      <c r="AB274" s="328">
        <f t="shared" ref="AB274:AB275" si="300">L274-Z274</f>
        <v>6635.9583333333394</v>
      </c>
      <c r="AC274" s="339">
        <f>$C274+(($D274-1)/12)</f>
        <v>118.16666666666667</v>
      </c>
      <c r="AD274" s="325">
        <f>($N$5+1)-($N$2/12)</f>
        <v>122.75</v>
      </c>
      <c r="AE274" s="339">
        <f>$I274+(($D274-1)/12)</f>
        <v>128.16666666666666</v>
      </c>
      <c r="AF274" s="325">
        <f>$N$4+($N$3/12)</f>
        <v>121.75</v>
      </c>
      <c r="AG274" s="338">
        <f>$J274+(($K274-1)/12)</f>
        <v>-8.3333333333333329E-2</v>
      </c>
    </row>
    <row r="275" spans="2:33">
      <c r="B275" s="333" t="s">
        <v>934</v>
      </c>
      <c r="C275" s="333">
        <v>118</v>
      </c>
      <c r="D275" s="333">
        <v>6</v>
      </c>
      <c r="E275" s="702">
        <v>0</v>
      </c>
      <c r="G275" s="333" t="s">
        <v>888</v>
      </c>
      <c r="H275" s="333">
        <v>10</v>
      </c>
      <c r="I275" s="341">
        <f>+C275+H275</f>
        <v>128</v>
      </c>
      <c r="L275" s="646">
        <v>17442</v>
      </c>
      <c r="N275" s="328">
        <f>L275-L275*E275</f>
        <v>17442</v>
      </c>
      <c r="O275" s="328">
        <f>N275/H275/12</f>
        <v>145.35</v>
      </c>
      <c r="P275" s="328">
        <f t="shared" si="299"/>
        <v>1744.1999999999998</v>
      </c>
      <c r="Q275" s="325">
        <f>IF(M275=0,0,IF(AND(AG275&gt;=AF275,AG275&lt;=AE275),((AG275-AF275)*12)*O275,0))</f>
        <v>0</v>
      </c>
      <c r="R275" s="328">
        <f>IF(Q275&gt;0,Q275,P275)</f>
        <v>1744.1999999999998</v>
      </c>
      <c r="S275" s="417">
        <v>1</v>
      </c>
      <c r="T275" s="328">
        <f>S275*SUM(P275:Q275)</f>
        <v>1744.1999999999998</v>
      </c>
      <c r="V275" s="328">
        <f>IF(AC275&gt;AD275,0,IF(AE275&lt;AF275,N275,IF(AND(AE275&gt;=AF275,AE275&lt;=AD275),(N275-R275),IF(AND(AF275&lt;=AC275,AD275&gt;=AC275),0,IF(AE275&gt;AD275,((AF275-AC275)*12)*O275,0)))))</f>
        <v>5813.9999999999918</v>
      </c>
      <c r="W275" s="328">
        <f>V275*S275</f>
        <v>5813.9999999999918</v>
      </c>
      <c r="X275" s="340">
        <v>1</v>
      </c>
      <c r="Y275" s="328">
        <f>W275*X275</f>
        <v>5813.9999999999918</v>
      </c>
      <c r="Z275" s="328">
        <f>IF(M275&gt;0,0,Y275+T275*X275)*X275</f>
        <v>7558.1999999999916</v>
      </c>
      <c r="AA275" s="328">
        <f>IF(M275&gt;0,(L275-Y275)/2,IF(AC275&gt;=AF275,(((L275*S275)*X275)-Z275)/2,((((L275*S275)*X275)-Y275)+(((L275*S275)*X275)-Z275))/2))</f>
        <v>10755.900000000009</v>
      </c>
      <c r="AB275" s="328">
        <f t="shared" si="300"/>
        <v>9883.8000000000084</v>
      </c>
      <c r="AC275" s="339">
        <f>$C275+(($D275-1)/12)</f>
        <v>118.41666666666667</v>
      </c>
      <c r="AD275" s="325">
        <f>($N$5+1)-($N$2/12)</f>
        <v>122.75</v>
      </c>
      <c r="AE275" s="339">
        <f>$I275+(($D275-1)/12)</f>
        <v>128.41666666666666</v>
      </c>
      <c r="AF275" s="325">
        <f>$N$4+($N$3/12)</f>
        <v>121.75</v>
      </c>
      <c r="AG275" s="338">
        <f>$J275+(($K275-1)/12)</f>
        <v>-8.3333333333333329E-2</v>
      </c>
    </row>
    <row r="276" spans="2:33">
      <c r="I276" s="330"/>
      <c r="L276" s="328"/>
      <c r="N276" s="328"/>
      <c r="P276" s="353"/>
      <c r="Q276" s="353"/>
      <c r="R276" s="352"/>
      <c r="T276" s="343"/>
      <c r="Y276" s="328"/>
      <c r="Z276" s="328"/>
      <c r="AA276" s="343"/>
      <c r="AB276" s="343"/>
    </row>
    <row r="277" spans="2:33" ht="16.5" thickBot="1">
      <c r="B277" s="333" t="s">
        <v>931</v>
      </c>
      <c r="I277" s="330"/>
      <c r="L277" s="336">
        <f>SUM(L274:L275)</f>
        <v>29693</v>
      </c>
      <c r="N277" s="328">
        <f>SUM(N274:N275)</f>
        <v>29693</v>
      </c>
      <c r="P277" s="336">
        <f t="shared" ref="P277:Q277" si="301">SUM(P274:P275)</f>
        <v>2969.2999999999997</v>
      </c>
      <c r="Q277" s="336">
        <f t="shared" si="301"/>
        <v>0</v>
      </c>
      <c r="R277" s="681">
        <f>SUM(R274:R275)</f>
        <v>2969.2999999999997</v>
      </c>
      <c r="T277" s="335">
        <f>SUM(T274:T276)</f>
        <v>2969.2999999999997</v>
      </c>
      <c r="V277" s="328">
        <f>SUM(V274:V276)</f>
        <v>10203.941666666651</v>
      </c>
      <c r="W277" s="328">
        <f>SUM(W274:W276)</f>
        <v>10203.941666666651</v>
      </c>
      <c r="Y277" s="328">
        <f>SUM(Y274:Y276)</f>
        <v>10203.941666666651</v>
      </c>
      <c r="Z277" s="328">
        <f>SUM(Z274:Z276)</f>
        <v>13173.241666666652</v>
      </c>
      <c r="AA277" s="335">
        <f>SUM(AA274:AA276)</f>
        <v>18004.408333333347</v>
      </c>
      <c r="AB277" s="335">
        <f>SUM(AB274:AB276)</f>
        <v>16519.758333333346</v>
      </c>
    </row>
    <row r="278" spans="2:33" ht="16.5" thickTop="1">
      <c r="I278" s="330" t="s">
        <v>886</v>
      </c>
      <c r="L278" s="661">
        <f>SUM(L274:L275)</f>
        <v>29693</v>
      </c>
      <c r="N278" s="328"/>
      <c r="R278" s="328"/>
      <c r="T278" s="343"/>
      <c r="Y278" s="328"/>
      <c r="Z278" s="328"/>
      <c r="AA278" s="343"/>
      <c r="AB278" s="343"/>
    </row>
    <row r="279" spans="2:33">
      <c r="I279" s="330"/>
      <c r="L279" s="334"/>
      <c r="N279" s="328"/>
      <c r="R279" s="328"/>
      <c r="T279" s="343"/>
      <c r="Y279" s="328"/>
      <c r="Z279" s="328"/>
      <c r="AA279" s="343"/>
      <c r="AB279" s="343"/>
    </row>
    <row r="280" spans="2:33">
      <c r="B280" s="333" t="s">
        <v>933</v>
      </c>
      <c r="I280" s="330"/>
      <c r="L280" s="334"/>
      <c r="N280" s="328"/>
      <c r="R280" s="328"/>
      <c r="T280" s="343"/>
      <c r="Y280" s="328"/>
      <c r="Z280" s="328"/>
      <c r="AA280" s="343"/>
      <c r="AB280" s="343"/>
    </row>
    <row r="281" spans="2:33">
      <c r="B281" s="333" t="s">
        <v>932</v>
      </c>
      <c r="C281" s="333">
        <v>117</v>
      </c>
      <c r="D281" s="333">
        <v>8</v>
      </c>
      <c r="E281" s="702">
        <v>0</v>
      </c>
      <c r="G281" s="333" t="s">
        <v>888</v>
      </c>
      <c r="H281" s="333">
        <v>7</v>
      </c>
      <c r="I281" s="341">
        <f>+C281+H281</f>
        <v>124</v>
      </c>
      <c r="L281" s="646">
        <v>3462</v>
      </c>
      <c r="N281" s="328">
        <f>L281-L281*E281</f>
        <v>3462</v>
      </c>
      <c r="O281" s="328">
        <f>N281/H281/12</f>
        <v>41.214285714285715</v>
      </c>
      <c r="P281" s="328">
        <f>IF(M281&gt;0,0,IF(OR(AC281&gt;AD281,AE281&lt;AF281),0,IF(AND(AE281&gt;=AF281,AE281&lt;=AD281),O281*((AE281-AF281)*12),IF(AND(AF281&lt;=AC281,AD281&gt;=AC281),((AD281-AC281)*12)*O281,IF(AE281&gt;AD281,12*O281,0)))))</f>
        <v>494.57142857142856</v>
      </c>
      <c r="Q281" s="325">
        <f>IF(M281=0,0,IF(AND(AG281&gt;=AF281,AG281&lt;=AE281),((AG281-AF281)*12)*O281,0))</f>
        <v>0</v>
      </c>
      <c r="R281" s="328">
        <f>IF(Q281&gt;0,Q281,P281)</f>
        <v>494.57142857142856</v>
      </c>
      <c r="S281" s="417">
        <v>1</v>
      </c>
      <c r="T281" s="328">
        <f>S281*SUM(P281:Q281)</f>
        <v>494.57142857142856</v>
      </c>
      <c r="V281" s="328">
        <f>IF(AC281&gt;AD281,0,IF(AE281&lt;AF281,N281,IF(AND(AE281&gt;=AF281,AE281&lt;=AD281),(N281-R281),IF(AND(AF281&lt;=AC281,AD281&gt;=AC281),0,IF(AE281&gt;AD281,((AF281-AC281)*12)*O281,0)))))</f>
        <v>2060.7142857142881</v>
      </c>
      <c r="W281" s="328">
        <f>V281*S281</f>
        <v>2060.7142857142881</v>
      </c>
      <c r="X281" s="340">
        <v>1</v>
      </c>
      <c r="Y281" s="328">
        <f>W281*X281</f>
        <v>2060.7142857142881</v>
      </c>
      <c r="Z281" s="328">
        <f>IF(M281&gt;0,0,Y281+T281*X281)*X281</f>
        <v>2555.2857142857165</v>
      </c>
      <c r="AA281" s="328">
        <f>IF(M281&gt;0,(L281-Y281)/2,IF(AC281&gt;=AF281,(((L281*S281)*X281)-Z281)/2,((((L281*S281)*X281)-Y281)+(((L281*S281)*X281)-Z281))/2))</f>
        <v>1153.9999999999977</v>
      </c>
      <c r="AB281" s="328">
        <f t="shared" ref="AB281:AB282" si="302">L281-Z281</f>
        <v>906.71428571428351</v>
      </c>
      <c r="AC281" s="339">
        <f>$C281+(($D281-1)/12)</f>
        <v>117.58333333333333</v>
      </c>
      <c r="AD281" s="325">
        <f>($N$5+1)-($N$2/12)</f>
        <v>122.75</v>
      </c>
      <c r="AE281" s="339">
        <f>$I281+(($D281-1)/12)</f>
        <v>124.58333333333333</v>
      </c>
      <c r="AF281" s="325">
        <f>$N$4+($N$3/12)</f>
        <v>121.75</v>
      </c>
      <c r="AG281" s="338">
        <f>$J281+(($K281-1)/12)</f>
        <v>-8.3333333333333329E-2</v>
      </c>
    </row>
    <row r="282" spans="2:33">
      <c r="B282" s="333" t="s">
        <v>1298</v>
      </c>
      <c r="C282" s="333">
        <v>119</v>
      </c>
      <c r="D282" s="333">
        <v>8</v>
      </c>
      <c r="E282" s="702">
        <v>0</v>
      </c>
      <c r="G282" s="333" t="s">
        <v>888</v>
      </c>
      <c r="H282" s="333">
        <v>7</v>
      </c>
      <c r="I282" s="341">
        <f>+C282+H282</f>
        <v>126</v>
      </c>
      <c r="L282" s="331">
        <v>840</v>
      </c>
      <c r="N282" s="328">
        <f>L282-L282*E282</f>
        <v>840</v>
      </c>
      <c r="O282" s="328">
        <f>N282/H282/12</f>
        <v>10</v>
      </c>
      <c r="P282" s="328">
        <f>IF(M282&gt;0,0,IF(OR(AC282&gt;AD282,AE282&lt;AF282),0,IF(AND(AE282&gt;=AF282,AE282&lt;=AD282),O282*((AE282-AF282)*12),IF(AND(AF282&lt;=AC282,AD282&gt;=AC282),((AD282-AC282)*12)*O282,IF(AE282&gt;AD282,12*O282,0)))))</f>
        <v>120</v>
      </c>
      <c r="Q282" s="325">
        <f>IF(M282=0,0,IF(AND(AG282&gt;=AF282,AG282&lt;=AE282),((AG282-AF282)*12)*O282,0))</f>
        <v>0</v>
      </c>
      <c r="R282" s="328">
        <f>IF(Q282&gt;0,Q282,P282)</f>
        <v>120</v>
      </c>
      <c r="S282" s="417">
        <v>1</v>
      </c>
      <c r="T282" s="328">
        <f>S282*SUM(P282:Q282)</f>
        <v>120</v>
      </c>
      <c r="V282" s="328">
        <f>IF(AC282&gt;AD282,0,IF(AE282&lt;AF282,N282,IF(AND(AE282&gt;=AF282,AE282&lt;=AD282),(N282-R282),IF(AND(AF282&lt;=AC282,AD282&gt;=AC282),0,IF(AE282&gt;AD282,((AF282-AC282)*12)*O282,0)))))</f>
        <v>260.00000000000057</v>
      </c>
      <c r="W282" s="328">
        <f>V282*S282</f>
        <v>260.00000000000057</v>
      </c>
      <c r="X282" s="340">
        <v>1</v>
      </c>
      <c r="Y282" s="328">
        <f>W282*X282</f>
        <v>260.00000000000057</v>
      </c>
      <c r="Z282" s="328">
        <f>IF(M282&gt;0,0,Y282+T282*X282)*X282</f>
        <v>380.00000000000057</v>
      </c>
      <c r="AA282" s="328">
        <f>IF(M282&gt;0,(L282-Y282)/2,IF(AC282&gt;=AF282,(((L282*S282)*X282)-Z282)/2,((((L282*S282)*X282)-Y282)+(((L282*S282)*X282)-Z282))/2))</f>
        <v>519.99999999999943</v>
      </c>
      <c r="AB282" s="328">
        <f t="shared" si="302"/>
        <v>459.99999999999943</v>
      </c>
      <c r="AC282" s="339">
        <f>$C282+(($D282-1)/12)</f>
        <v>119.58333333333333</v>
      </c>
      <c r="AD282" s="325">
        <f>($N$5+1)-($N$2/12)</f>
        <v>122.75</v>
      </c>
      <c r="AE282" s="339">
        <f>$I282+(($D282-1)/12)</f>
        <v>126.58333333333333</v>
      </c>
      <c r="AF282" s="325">
        <f>$N$4+($N$3/12)</f>
        <v>121.75</v>
      </c>
      <c r="AG282" s="338">
        <f>$J282+(($K282-1)/12)</f>
        <v>-8.3333333333333329E-2</v>
      </c>
    </row>
    <row r="283" spans="2:33">
      <c r="B283" s="333" t="s">
        <v>1393</v>
      </c>
      <c r="C283" s="333">
        <v>121</v>
      </c>
      <c r="D283" s="333">
        <v>8</v>
      </c>
      <c r="E283" s="702">
        <v>0</v>
      </c>
      <c r="G283" s="333" t="s">
        <v>888</v>
      </c>
      <c r="H283" s="333">
        <v>7</v>
      </c>
      <c r="I283" s="341">
        <f>+C283+H283</f>
        <v>128</v>
      </c>
      <c r="L283" s="331">
        <v>390</v>
      </c>
      <c r="N283" s="328">
        <f>L283-L283*E283</f>
        <v>390</v>
      </c>
      <c r="O283" s="328">
        <f>N283/H283/12</f>
        <v>4.6428571428571432</v>
      </c>
      <c r="P283" s="328">
        <f>IF(M283&gt;0,0,IF(OR(AC283&gt;AD283,AE283&lt;AF283),0,IF(AND(AE283&gt;=AF283,AE283&lt;=AD283),O283*((AE283-AF283)*12),IF(AND(AF283&lt;=AC283,AD283&gt;=AC283),((AD283-AC283)*12)*O283,IF(AE283&gt;AD283,12*O283,0)))))</f>
        <v>55.714285714285722</v>
      </c>
      <c r="Q283" s="325">
        <f>IF(M283=0,0,IF(AND(AG283&gt;=AF283,AG283&lt;=AE283),((AG283-AF283)*12)*O283,0))</f>
        <v>0</v>
      </c>
      <c r="R283" s="328">
        <f>IF(Q283&gt;0,Q283,P283)</f>
        <v>55.714285714285722</v>
      </c>
      <c r="S283" s="417">
        <v>1</v>
      </c>
      <c r="T283" s="328">
        <f>S283*SUM(P283:Q283)</f>
        <v>55.714285714285722</v>
      </c>
      <c r="V283" s="328">
        <f>IF(AC283&gt;AD283,0,IF(AE283&lt;AF283,N283,IF(AND(AE283&gt;=AF283,AE283&lt;=AD283),(N283-R283),IF(AND(AF283&lt;=AC283,AD283&gt;=AC283),0,IF(AE283&gt;AD283,((AF283-AC283)*12)*O283,0)))))</f>
        <v>9.2857142857145512</v>
      </c>
      <c r="W283" s="328">
        <f>V283*S283</f>
        <v>9.2857142857145512</v>
      </c>
      <c r="X283" s="340">
        <v>1</v>
      </c>
      <c r="Y283" s="328">
        <f>W283*X283</f>
        <v>9.2857142857145512</v>
      </c>
      <c r="Z283" s="328">
        <f>IF(M283&gt;0,0,Y283+T283*X283)*X283</f>
        <v>65.00000000000027</v>
      </c>
      <c r="AA283" s="328">
        <f>IF(M283&gt;0,(L283-Y283)/2,IF(AC283&gt;=AF283,(((L283*S283)*X283)-Z283)/2,((((L283*S283)*X283)-Y283)+(((L283*S283)*X283)-Z283))/2))</f>
        <v>352.85714285714255</v>
      </c>
      <c r="AB283" s="328">
        <f t="shared" ref="AB283" si="303">L283-Z283</f>
        <v>324.99999999999972</v>
      </c>
      <c r="AC283" s="339">
        <f>$C283+(($D283-1)/12)</f>
        <v>121.58333333333333</v>
      </c>
      <c r="AD283" s="325">
        <f>($N$5+1)-($N$2/12)</f>
        <v>122.75</v>
      </c>
      <c r="AE283" s="339">
        <f>$I283+(($D283-1)/12)</f>
        <v>128.58333333333334</v>
      </c>
      <c r="AF283" s="325">
        <f>$N$4+($N$3/12)</f>
        <v>121.75</v>
      </c>
      <c r="AG283" s="338">
        <f>$J283+(($K283-1)/12)</f>
        <v>-8.3333333333333329E-2</v>
      </c>
    </row>
    <row r="284" spans="2:33">
      <c r="I284" s="330"/>
      <c r="L284" s="328"/>
      <c r="N284" s="328"/>
      <c r="P284" s="353"/>
      <c r="Q284" s="353"/>
      <c r="R284" s="352"/>
      <c r="T284" s="343"/>
      <c r="Y284" s="328"/>
      <c r="Z284" s="328"/>
      <c r="AA284" s="343"/>
      <c r="AB284" s="343"/>
    </row>
    <row r="285" spans="2:33" ht="16.5" thickBot="1">
      <c r="B285" s="333" t="s">
        <v>931</v>
      </c>
      <c r="I285" s="330"/>
      <c r="L285" s="336">
        <f>SUM(L281:L283)</f>
        <v>4692</v>
      </c>
      <c r="N285" s="328">
        <f>SUM(N281:N283)</f>
        <v>4692</v>
      </c>
      <c r="P285" s="679">
        <f t="shared" ref="P285:R285" si="304">SUM(P281:P284)</f>
        <v>670.28571428571422</v>
      </c>
      <c r="Q285" s="679">
        <f t="shared" si="304"/>
        <v>0</v>
      </c>
      <c r="R285" s="343">
        <f t="shared" si="304"/>
        <v>670.28571428571422</v>
      </c>
      <c r="T285" s="335">
        <f>SUM(T281:T284)</f>
        <v>670.28571428571422</v>
      </c>
      <c r="V285" s="328">
        <f>SUM(V281:V284)</f>
        <v>2330.0000000000032</v>
      </c>
      <c r="W285" s="328">
        <f>SUM(W281:W284)</f>
        <v>2330.0000000000032</v>
      </c>
      <c r="Y285" s="328">
        <f>SUM(Y281:Y284)</f>
        <v>2330.0000000000032</v>
      </c>
      <c r="Z285" s="328">
        <f>SUM(Z281:Z284)</f>
        <v>3000.2857142857174</v>
      </c>
      <c r="AA285" s="335">
        <f>SUM(AA281:AA284)</f>
        <v>2026.8571428571399</v>
      </c>
      <c r="AB285" s="335">
        <f>SUM(AB281:AB284)</f>
        <v>1691.7142857142828</v>
      </c>
    </row>
    <row r="286" spans="2:33" ht="16.5" thickTop="1">
      <c r="I286" s="330" t="s">
        <v>886</v>
      </c>
      <c r="L286" s="334">
        <f>SUM(L281:L282)</f>
        <v>4302</v>
      </c>
      <c r="N286" s="328"/>
      <c r="R286" s="328"/>
      <c r="T286" s="343"/>
      <c r="Y286" s="328"/>
      <c r="Z286" s="328"/>
      <c r="AA286" s="343"/>
      <c r="AB286" s="343"/>
    </row>
    <row r="287" spans="2:33">
      <c r="I287" s="330"/>
      <c r="L287" s="334"/>
      <c r="N287" s="328"/>
      <c r="R287" s="328"/>
      <c r="T287" s="343"/>
      <c r="Y287" s="328"/>
      <c r="Z287" s="328"/>
      <c r="AA287" s="343"/>
      <c r="AB287" s="343" t="s">
        <v>326</v>
      </c>
    </row>
    <row r="288" spans="2:33">
      <c r="B288" s="333" t="s">
        <v>930</v>
      </c>
      <c r="I288" s="330"/>
      <c r="L288" s="328"/>
      <c r="N288" s="328"/>
      <c r="R288" s="328"/>
      <c r="T288" s="343"/>
      <c r="Y288" s="328"/>
      <c r="Z288" s="328"/>
      <c r="AA288" s="343"/>
      <c r="AB288" s="343"/>
    </row>
    <row r="289" spans="2:38">
      <c r="B289" s="333" t="s">
        <v>929</v>
      </c>
      <c r="C289" s="333">
        <v>87</v>
      </c>
      <c r="D289" s="333">
        <v>11</v>
      </c>
      <c r="E289" s="342">
        <v>0</v>
      </c>
      <c r="G289" s="333" t="s">
        <v>888</v>
      </c>
      <c r="H289" s="333">
        <v>10</v>
      </c>
      <c r="I289" s="341">
        <f t="shared" ref="I289:I315" si="305">+C289+H289</f>
        <v>97</v>
      </c>
      <c r="L289" s="331">
        <v>975</v>
      </c>
      <c r="N289" s="328">
        <f t="shared" ref="N289:N315" si="306">L289-L289*E289</f>
        <v>975</v>
      </c>
      <c r="O289" s="328">
        <f t="shared" ref="O289:O315" si="307">N289/H289/12</f>
        <v>8.125</v>
      </c>
      <c r="P289" s="328">
        <f t="shared" ref="P289:P315" si="308">IF(M289&gt;0,0,IF(OR(AC289&gt;AD289,AE289&lt;AF289),0,IF(AND(AE289&gt;=AF289,AE289&lt;=AD289),O289*((AE289-AF289)*12),IF(AND(AF289&lt;=AC289,AD289&gt;=AC289),((AD289-AC289)*12)*O289,IF(AE289&gt;AD289,12*O289,0)))))</f>
        <v>0</v>
      </c>
      <c r="Q289" s="325">
        <f t="shared" ref="Q289:Q315" si="309">IF(M289=0,0,IF(AND(AG289&gt;=AF289,AG289&lt;=AE289),((AG289-AF289)*12)*O289,0))</f>
        <v>0</v>
      </c>
      <c r="R289" s="328">
        <f t="shared" ref="R289:R315" si="310">IF(Q289&gt;0,Q289,P289)</f>
        <v>0</v>
      </c>
      <c r="S289" s="340">
        <v>1</v>
      </c>
      <c r="T289" s="328">
        <f t="shared" ref="T289:T315" si="311">S289*SUM(P289:Q289)</f>
        <v>0</v>
      </c>
      <c r="V289" s="328">
        <f t="shared" ref="V289:V315" si="312">IF(AC289&gt;AD289,0,IF(AE289&lt;AF289,N289,IF(AND(AE289&gt;=AF289,AE289&lt;=AD289),(N289-R289),IF(AND(AF289&lt;=AC289,AD289&gt;=AC289),0,IF(AE289&gt;AD289,((AF289-AC289)*12)*O289,0)))))</f>
        <v>975</v>
      </c>
      <c r="W289" s="328">
        <f t="shared" ref="W289:W315" si="313">V289*S289</f>
        <v>975</v>
      </c>
      <c r="X289" s="340">
        <v>1</v>
      </c>
      <c r="Y289" s="328">
        <f t="shared" ref="Y289:Y315" si="314">W289*X289</f>
        <v>975</v>
      </c>
      <c r="Z289" s="328">
        <f t="shared" ref="Z289:Z315" si="315">IF(M289&gt;0,0,Y289+T289*X289)*X289</f>
        <v>975</v>
      </c>
      <c r="AA289" s="328">
        <f t="shared" ref="AA289:AA315" si="316">IF(M289&gt;0,(L289-Y289)/2,IF(AC289&gt;=AF289,(((L289*S289)*X289)-Z289)/2,((((L289*S289)*X289)-Y289)+(((L289*S289)*X289)-Z289))/2))</f>
        <v>0</v>
      </c>
      <c r="AB289" s="328">
        <f>L289-Z289</f>
        <v>0</v>
      </c>
      <c r="AC289" s="339">
        <f t="shared" ref="AC289:AC315" si="317">$C289+(($D289-1)/12)</f>
        <v>87.833333333333329</v>
      </c>
      <c r="AD289" s="325">
        <f t="shared" ref="AD289:AD315" si="318">($N$5+1)-($N$2/12)</f>
        <v>122.75</v>
      </c>
      <c r="AE289" s="339">
        <f t="shared" ref="AE289:AE315" si="319">$I289+(($D289-1)/12)</f>
        <v>97.833333333333329</v>
      </c>
      <c r="AF289" s="325">
        <f t="shared" ref="AF289:AF315" si="320">$N$4+($N$3/12)</f>
        <v>121.75</v>
      </c>
      <c r="AG289" s="338">
        <f t="shared" ref="AG289:AG315" si="321">$J289+(($K289-1)/12)</f>
        <v>-8.3333333333333329E-2</v>
      </c>
    </row>
    <row r="290" spans="2:38">
      <c r="B290" s="333" t="s">
        <v>927</v>
      </c>
      <c r="C290" s="333">
        <v>93</v>
      </c>
      <c r="D290" s="333">
        <v>4</v>
      </c>
      <c r="E290" s="342">
        <v>0</v>
      </c>
      <c r="G290" s="333" t="s">
        <v>888</v>
      </c>
      <c r="H290" s="333">
        <v>10</v>
      </c>
      <c r="I290" s="341">
        <f t="shared" si="305"/>
        <v>103</v>
      </c>
      <c r="L290" s="331">
        <v>1000</v>
      </c>
      <c r="N290" s="328">
        <f t="shared" si="306"/>
        <v>1000</v>
      </c>
      <c r="O290" s="328">
        <f t="shared" si="307"/>
        <v>8.3333333333333339</v>
      </c>
      <c r="P290" s="328">
        <f t="shared" si="308"/>
        <v>0</v>
      </c>
      <c r="Q290" s="325">
        <f t="shared" si="309"/>
        <v>0</v>
      </c>
      <c r="R290" s="328">
        <f t="shared" si="310"/>
        <v>0</v>
      </c>
      <c r="S290" s="340">
        <v>1</v>
      </c>
      <c r="T290" s="328">
        <f t="shared" si="311"/>
        <v>0</v>
      </c>
      <c r="V290" s="328">
        <f t="shared" si="312"/>
        <v>1000</v>
      </c>
      <c r="W290" s="328">
        <f t="shared" si="313"/>
        <v>1000</v>
      </c>
      <c r="X290" s="340">
        <v>1</v>
      </c>
      <c r="Y290" s="328">
        <f t="shared" si="314"/>
        <v>1000</v>
      </c>
      <c r="Z290" s="328">
        <f t="shared" si="315"/>
        <v>1000</v>
      </c>
      <c r="AA290" s="328">
        <f t="shared" si="316"/>
        <v>0</v>
      </c>
      <c r="AB290" s="328">
        <f t="shared" ref="AB290:AB315" si="322">L290-Z290</f>
        <v>0</v>
      </c>
      <c r="AC290" s="339">
        <f t="shared" si="317"/>
        <v>93.25</v>
      </c>
      <c r="AD290" s="325">
        <f t="shared" si="318"/>
        <v>122.75</v>
      </c>
      <c r="AE290" s="339">
        <f t="shared" si="319"/>
        <v>103.25</v>
      </c>
      <c r="AF290" s="325">
        <f t="shared" si="320"/>
        <v>121.75</v>
      </c>
      <c r="AG290" s="338">
        <f t="shared" si="321"/>
        <v>-8.3333333333333329E-2</v>
      </c>
    </row>
    <row r="291" spans="2:38">
      <c r="B291" s="333" t="s">
        <v>918</v>
      </c>
      <c r="C291" s="333">
        <v>104</v>
      </c>
      <c r="D291" s="333">
        <v>10</v>
      </c>
      <c r="E291" s="342">
        <v>0</v>
      </c>
      <c r="G291" s="333" t="s">
        <v>888</v>
      </c>
      <c r="H291" s="333">
        <v>10</v>
      </c>
      <c r="I291" s="341">
        <f t="shared" si="305"/>
        <v>114</v>
      </c>
      <c r="L291" s="331">
        <v>2592</v>
      </c>
      <c r="N291" s="328">
        <f t="shared" si="306"/>
        <v>2592</v>
      </c>
      <c r="O291" s="328">
        <f t="shared" si="307"/>
        <v>21.599999999999998</v>
      </c>
      <c r="P291" s="328">
        <f t="shared" si="308"/>
        <v>0</v>
      </c>
      <c r="Q291" s="325">
        <f t="shared" si="309"/>
        <v>0</v>
      </c>
      <c r="R291" s="328">
        <f t="shared" si="310"/>
        <v>0</v>
      </c>
      <c r="S291" s="340">
        <v>1</v>
      </c>
      <c r="T291" s="328">
        <f t="shared" si="311"/>
        <v>0</v>
      </c>
      <c r="V291" s="328">
        <f t="shared" si="312"/>
        <v>2592</v>
      </c>
      <c r="W291" s="328">
        <f t="shared" si="313"/>
        <v>2592</v>
      </c>
      <c r="X291" s="340">
        <v>1</v>
      </c>
      <c r="Y291" s="328">
        <f t="shared" si="314"/>
        <v>2592</v>
      </c>
      <c r="Z291" s="328">
        <f t="shared" si="315"/>
        <v>2592</v>
      </c>
      <c r="AA291" s="328">
        <f t="shared" si="316"/>
        <v>0</v>
      </c>
      <c r="AB291" s="328">
        <f t="shared" si="322"/>
        <v>0</v>
      </c>
      <c r="AC291" s="339">
        <f t="shared" si="317"/>
        <v>104.75</v>
      </c>
      <c r="AD291" s="325">
        <f t="shared" si="318"/>
        <v>122.75</v>
      </c>
      <c r="AE291" s="339">
        <f t="shared" si="319"/>
        <v>114.75</v>
      </c>
      <c r="AF291" s="325">
        <f t="shared" si="320"/>
        <v>121.75</v>
      </c>
      <c r="AG291" s="338">
        <f t="shared" si="321"/>
        <v>-8.3333333333333329E-2</v>
      </c>
    </row>
    <row r="292" spans="2:38">
      <c r="B292" s="333" t="s">
        <v>928</v>
      </c>
      <c r="C292" s="333">
        <v>104</v>
      </c>
      <c r="D292" s="333">
        <v>11</v>
      </c>
      <c r="E292" s="342">
        <v>0</v>
      </c>
      <c r="G292" s="333" t="s">
        <v>888</v>
      </c>
      <c r="H292" s="333">
        <v>10</v>
      </c>
      <c r="I292" s="341">
        <f t="shared" si="305"/>
        <v>114</v>
      </c>
      <c r="L292" s="331">
        <v>4320</v>
      </c>
      <c r="N292" s="328">
        <f t="shared" si="306"/>
        <v>4320</v>
      </c>
      <c r="O292" s="328">
        <f t="shared" si="307"/>
        <v>36</v>
      </c>
      <c r="P292" s="328">
        <f t="shared" si="308"/>
        <v>0</v>
      </c>
      <c r="Q292" s="325">
        <f t="shared" si="309"/>
        <v>0</v>
      </c>
      <c r="R292" s="328">
        <f t="shared" si="310"/>
        <v>0</v>
      </c>
      <c r="S292" s="340">
        <v>1</v>
      </c>
      <c r="T292" s="328">
        <f t="shared" si="311"/>
        <v>0</v>
      </c>
      <c r="V292" s="328">
        <f t="shared" si="312"/>
        <v>4320</v>
      </c>
      <c r="W292" s="328">
        <f t="shared" si="313"/>
        <v>4320</v>
      </c>
      <c r="X292" s="340">
        <v>1</v>
      </c>
      <c r="Y292" s="328">
        <f t="shared" si="314"/>
        <v>4320</v>
      </c>
      <c r="Z292" s="328">
        <f t="shared" si="315"/>
        <v>4320</v>
      </c>
      <c r="AA292" s="328">
        <f t="shared" si="316"/>
        <v>0</v>
      </c>
      <c r="AB292" s="328">
        <f t="shared" si="322"/>
        <v>0</v>
      </c>
      <c r="AC292" s="339">
        <f t="shared" si="317"/>
        <v>104.83333333333333</v>
      </c>
      <c r="AD292" s="325">
        <f t="shared" si="318"/>
        <v>122.75</v>
      </c>
      <c r="AE292" s="339">
        <f t="shared" si="319"/>
        <v>114.83333333333333</v>
      </c>
      <c r="AF292" s="325">
        <f t="shared" si="320"/>
        <v>121.75</v>
      </c>
      <c r="AG292" s="338">
        <f t="shared" si="321"/>
        <v>-8.3333333333333329E-2</v>
      </c>
    </row>
    <row r="293" spans="2:38">
      <c r="B293" s="333" t="s">
        <v>927</v>
      </c>
      <c r="C293" s="333">
        <v>104</v>
      </c>
      <c r="D293" s="333">
        <v>12</v>
      </c>
      <c r="E293" s="342">
        <v>0</v>
      </c>
      <c r="G293" s="333" t="s">
        <v>888</v>
      </c>
      <c r="H293" s="333">
        <v>10</v>
      </c>
      <c r="I293" s="341">
        <f t="shared" si="305"/>
        <v>114</v>
      </c>
      <c r="L293" s="331">
        <v>991</v>
      </c>
      <c r="N293" s="328">
        <f t="shared" si="306"/>
        <v>991</v>
      </c>
      <c r="O293" s="328">
        <f t="shared" si="307"/>
        <v>8.2583333333333329</v>
      </c>
      <c r="P293" s="328">
        <f t="shared" si="308"/>
        <v>0</v>
      </c>
      <c r="Q293" s="325">
        <f t="shared" si="309"/>
        <v>0</v>
      </c>
      <c r="R293" s="328">
        <f t="shared" si="310"/>
        <v>0</v>
      </c>
      <c r="S293" s="340">
        <v>1</v>
      </c>
      <c r="T293" s="328">
        <f t="shared" si="311"/>
        <v>0</v>
      </c>
      <c r="V293" s="328">
        <f t="shared" si="312"/>
        <v>991</v>
      </c>
      <c r="W293" s="328">
        <f t="shared" si="313"/>
        <v>991</v>
      </c>
      <c r="X293" s="340">
        <v>1</v>
      </c>
      <c r="Y293" s="328">
        <f t="shared" si="314"/>
        <v>991</v>
      </c>
      <c r="Z293" s="328">
        <f t="shared" si="315"/>
        <v>991</v>
      </c>
      <c r="AA293" s="328">
        <f t="shared" si="316"/>
        <v>0</v>
      </c>
      <c r="AB293" s="328">
        <f t="shared" si="322"/>
        <v>0</v>
      </c>
      <c r="AC293" s="339">
        <f t="shared" si="317"/>
        <v>104.91666666666667</v>
      </c>
      <c r="AD293" s="325">
        <f t="shared" si="318"/>
        <v>122.75</v>
      </c>
      <c r="AE293" s="339">
        <f t="shared" si="319"/>
        <v>114.91666666666667</v>
      </c>
      <c r="AF293" s="325">
        <f t="shared" si="320"/>
        <v>121.75</v>
      </c>
      <c r="AG293" s="338">
        <f t="shared" si="321"/>
        <v>-8.3333333333333329E-2</v>
      </c>
    </row>
    <row r="294" spans="2:38">
      <c r="B294" s="333" t="s">
        <v>926</v>
      </c>
      <c r="C294" s="333">
        <v>105</v>
      </c>
      <c r="D294" s="333">
        <v>1</v>
      </c>
      <c r="E294" s="342">
        <v>0</v>
      </c>
      <c r="G294" s="333" t="s">
        <v>888</v>
      </c>
      <c r="H294" s="333">
        <v>10</v>
      </c>
      <c r="I294" s="341">
        <f t="shared" si="305"/>
        <v>115</v>
      </c>
      <c r="L294" s="331">
        <v>536</v>
      </c>
      <c r="N294" s="328">
        <f t="shared" si="306"/>
        <v>536</v>
      </c>
      <c r="O294" s="328">
        <f t="shared" si="307"/>
        <v>4.4666666666666668</v>
      </c>
      <c r="P294" s="328">
        <f t="shared" si="308"/>
        <v>0</v>
      </c>
      <c r="Q294" s="325">
        <f t="shared" si="309"/>
        <v>0</v>
      </c>
      <c r="R294" s="328">
        <f t="shared" si="310"/>
        <v>0</v>
      </c>
      <c r="S294" s="340">
        <v>1</v>
      </c>
      <c r="T294" s="328">
        <f t="shared" si="311"/>
        <v>0</v>
      </c>
      <c r="V294" s="328">
        <f t="shared" si="312"/>
        <v>536</v>
      </c>
      <c r="W294" s="328">
        <f t="shared" si="313"/>
        <v>536</v>
      </c>
      <c r="X294" s="340">
        <v>1</v>
      </c>
      <c r="Y294" s="328">
        <f t="shared" si="314"/>
        <v>536</v>
      </c>
      <c r="Z294" s="328">
        <f t="shared" si="315"/>
        <v>536</v>
      </c>
      <c r="AA294" s="328">
        <f t="shared" si="316"/>
        <v>0</v>
      </c>
      <c r="AB294" s="328">
        <f t="shared" si="322"/>
        <v>0</v>
      </c>
      <c r="AC294" s="339">
        <f t="shared" si="317"/>
        <v>105</v>
      </c>
      <c r="AD294" s="325">
        <f t="shared" si="318"/>
        <v>122.75</v>
      </c>
      <c r="AE294" s="339">
        <f t="shared" si="319"/>
        <v>115</v>
      </c>
      <c r="AF294" s="325">
        <f t="shared" si="320"/>
        <v>121.75</v>
      </c>
      <c r="AG294" s="338">
        <f t="shared" si="321"/>
        <v>-8.3333333333333329E-2</v>
      </c>
    </row>
    <row r="295" spans="2:38">
      <c r="B295" s="333" t="s">
        <v>925</v>
      </c>
      <c r="C295" s="333">
        <v>105</v>
      </c>
      <c r="D295" s="333">
        <v>3</v>
      </c>
      <c r="E295" s="342">
        <v>0</v>
      </c>
      <c r="G295" s="333" t="s">
        <v>888</v>
      </c>
      <c r="H295" s="333">
        <v>10</v>
      </c>
      <c r="I295" s="341">
        <f t="shared" si="305"/>
        <v>115</v>
      </c>
      <c r="L295" s="331">
        <v>518</v>
      </c>
      <c r="N295" s="328">
        <f t="shared" si="306"/>
        <v>518</v>
      </c>
      <c r="O295" s="328">
        <f t="shared" si="307"/>
        <v>4.3166666666666664</v>
      </c>
      <c r="P295" s="328">
        <f t="shared" si="308"/>
        <v>0</v>
      </c>
      <c r="Q295" s="325">
        <f t="shared" si="309"/>
        <v>0</v>
      </c>
      <c r="R295" s="328">
        <f t="shared" si="310"/>
        <v>0</v>
      </c>
      <c r="S295" s="340">
        <v>1</v>
      </c>
      <c r="T295" s="328">
        <f t="shared" si="311"/>
        <v>0</v>
      </c>
      <c r="V295" s="328">
        <f t="shared" si="312"/>
        <v>518</v>
      </c>
      <c r="W295" s="328">
        <f t="shared" si="313"/>
        <v>518</v>
      </c>
      <c r="X295" s="340">
        <v>1</v>
      </c>
      <c r="Y295" s="328">
        <f t="shared" si="314"/>
        <v>518</v>
      </c>
      <c r="Z295" s="328">
        <f t="shared" si="315"/>
        <v>518</v>
      </c>
      <c r="AA295" s="328">
        <f t="shared" si="316"/>
        <v>0</v>
      </c>
      <c r="AB295" s="328">
        <f t="shared" si="322"/>
        <v>0</v>
      </c>
      <c r="AC295" s="339">
        <f t="shared" si="317"/>
        <v>105.16666666666667</v>
      </c>
      <c r="AD295" s="325">
        <f t="shared" si="318"/>
        <v>122.75</v>
      </c>
      <c r="AE295" s="339">
        <f t="shared" si="319"/>
        <v>115.16666666666667</v>
      </c>
      <c r="AF295" s="325">
        <f t="shared" si="320"/>
        <v>121.75</v>
      </c>
      <c r="AG295" s="338">
        <f t="shared" si="321"/>
        <v>-8.3333333333333329E-2</v>
      </c>
    </row>
    <row r="296" spans="2:38">
      <c r="B296" s="333" t="s">
        <v>924</v>
      </c>
      <c r="C296" s="333">
        <v>106</v>
      </c>
      <c r="D296" s="333">
        <v>8</v>
      </c>
      <c r="E296" s="342">
        <v>0</v>
      </c>
      <c r="G296" s="333" t="s">
        <v>888</v>
      </c>
      <c r="H296" s="333">
        <v>10</v>
      </c>
      <c r="I296" s="341">
        <f t="shared" si="305"/>
        <v>116</v>
      </c>
      <c r="L296" s="331">
        <v>23400.799999999999</v>
      </c>
      <c r="N296" s="328">
        <f t="shared" si="306"/>
        <v>23400.799999999999</v>
      </c>
      <c r="O296" s="328">
        <f t="shared" si="307"/>
        <v>195.00666666666666</v>
      </c>
      <c r="P296" s="328">
        <f t="shared" si="308"/>
        <v>0</v>
      </c>
      <c r="Q296" s="325">
        <f t="shared" si="309"/>
        <v>0</v>
      </c>
      <c r="R296" s="328">
        <f t="shared" si="310"/>
        <v>0</v>
      </c>
      <c r="S296" s="340">
        <v>1</v>
      </c>
      <c r="T296" s="328">
        <f t="shared" si="311"/>
        <v>0</v>
      </c>
      <c r="V296" s="328">
        <f t="shared" si="312"/>
        <v>23400.799999999999</v>
      </c>
      <c r="W296" s="328">
        <f t="shared" si="313"/>
        <v>23400.799999999999</v>
      </c>
      <c r="X296" s="340">
        <v>1</v>
      </c>
      <c r="Y296" s="328">
        <f t="shared" si="314"/>
        <v>23400.799999999999</v>
      </c>
      <c r="Z296" s="328">
        <f t="shared" si="315"/>
        <v>23400.799999999999</v>
      </c>
      <c r="AA296" s="328">
        <f t="shared" si="316"/>
        <v>0</v>
      </c>
      <c r="AB296" s="328">
        <f t="shared" si="322"/>
        <v>0</v>
      </c>
      <c r="AC296" s="339">
        <f t="shared" si="317"/>
        <v>106.58333333333333</v>
      </c>
      <c r="AD296" s="325">
        <f t="shared" si="318"/>
        <v>122.75</v>
      </c>
      <c r="AE296" s="339">
        <f t="shared" si="319"/>
        <v>116.58333333333333</v>
      </c>
      <c r="AF296" s="325">
        <f t="shared" si="320"/>
        <v>121.75</v>
      </c>
      <c r="AG296" s="338">
        <f t="shared" si="321"/>
        <v>-8.3333333333333329E-2</v>
      </c>
    </row>
    <row r="297" spans="2:38">
      <c r="B297" s="408" t="s">
        <v>1146</v>
      </c>
      <c r="C297" s="333">
        <v>118</v>
      </c>
      <c r="D297" s="333">
        <v>1</v>
      </c>
      <c r="E297" s="342">
        <v>0</v>
      </c>
      <c r="G297" s="333" t="s">
        <v>888</v>
      </c>
      <c r="H297" s="333">
        <v>3</v>
      </c>
      <c r="I297" s="341">
        <f t="shared" si="305"/>
        <v>121</v>
      </c>
      <c r="L297" s="331">
        <v>5850.2000000000007</v>
      </c>
      <c r="N297" s="328">
        <f t="shared" si="306"/>
        <v>5850.2000000000007</v>
      </c>
      <c r="O297" s="328">
        <f t="shared" si="307"/>
        <v>162.50555555555556</v>
      </c>
      <c r="P297" s="328">
        <f t="shared" ref="P297:P305" si="323">IF(M297&gt;0,0,IF(OR(AC297&gt;AD297,AE297&lt;AF297),0,IF(AND(AE297&gt;=AF297,AE297&lt;=AD297),O297*((AE297-AF297)*12),IF(AND(AF297&lt;=AC297,AD297&gt;=AC297),((AD297-AC297)*12)*O297,IF(AE297&gt;AD297,12*O297,0)))))</f>
        <v>0</v>
      </c>
      <c r="Q297" s="325">
        <f t="shared" ref="Q297:Q305" si="324">IF(M297=0,0,IF(AND(AG297&gt;=AF297,AG297&lt;=AE297),((AG297-AF297)*12)*O297,0))</f>
        <v>0</v>
      </c>
      <c r="R297" s="328">
        <f t="shared" ref="R297:R305" si="325">IF(Q297&gt;0,Q297,P297)</f>
        <v>0</v>
      </c>
      <c r="S297" s="340">
        <v>1</v>
      </c>
      <c r="T297" s="328">
        <f t="shared" si="311"/>
        <v>0</v>
      </c>
      <c r="V297" s="328">
        <f t="shared" ref="V297:V305" si="326">IF(AC297&gt;AD297,0,IF(AE297&lt;AF297,N297,IF(AND(AE297&gt;=AF297,AE297&lt;=AD297),(N297-R297),IF(AND(AF297&lt;=AC297,AD297&gt;=AC297),0,IF(AE297&gt;AD297,((AF297-AC297)*12)*O297,0)))))</f>
        <v>5850.2000000000007</v>
      </c>
      <c r="W297" s="328">
        <f t="shared" ref="W297:W305" si="327">V297*S297</f>
        <v>5850.2000000000007</v>
      </c>
      <c r="X297" s="340">
        <v>1</v>
      </c>
      <c r="Y297" s="328">
        <f t="shared" ref="Y297:Y305" si="328">W297*X297</f>
        <v>5850.2000000000007</v>
      </c>
      <c r="Z297" s="328">
        <f t="shared" ref="Z297:Z305" si="329">IF(M297&gt;0,0,Y297+T297*X297)*X297</f>
        <v>5850.2000000000007</v>
      </c>
      <c r="AA297" s="328">
        <f t="shared" si="316"/>
        <v>0</v>
      </c>
      <c r="AB297" s="328">
        <f t="shared" si="322"/>
        <v>0</v>
      </c>
      <c r="AC297" s="339">
        <f t="shared" si="317"/>
        <v>118</v>
      </c>
      <c r="AD297" s="325">
        <f t="shared" si="318"/>
        <v>122.75</v>
      </c>
      <c r="AE297" s="339">
        <f t="shared" si="319"/>
        <v>121</v>
      </c>
      <c r="AF297" s="325">
        <f t="shared" si="320"/>
        <v>121.75</v>
      </c>
      <c r="AG297" s="338">
        <f t="shared" si="321"/>
        <v>-8.3333333333333329E-2</v>
      </c>
    </row>
    <row r="298" spans="2:38">
      <c r="B298" s="333" t="s">
        <v>923</v>
      </c>
      <c r="C298" s="333">
        <v>107</v>
      </c>
      <c r="D298" s="333">
        <v>2</v>
      </c>
      <c r="E298" s="342">
        <v>0</v>
      </c>
      <c r="G298" s="333" t="s">
        <v>888</v>
      </c>
      <c r="H298" s="333">
        <v>10</v>
      </c>
      <c r="I298" s="341">
        <f t="shared" si="305"/>
        <v>117</v>
      </c>
      <c r="L298" s="331">
        <v>1702.4</v>
      </c>
      <c r="N298" s="328">
        <f t="shared" si="306"/>
        <v>1702.4</v>
      </c>
      <c r="O298" s="328">
        <f t="shared" si="307"/>
        <v>14.186666666666667</v>
      </c>
      <c r="P298" s="328">
        <f t="shared" si="323"/>
        <v>0</v>
      </c>
      <c r="Q298" s="325">
        <f t="shared" si="324"/>
        <v>0</v>
      </c>
      <c r="R298" s="328">
        <f t="shared" si="325"/>
        <v>0</v>
      </c>
      <c r="S298" s="340">
        <v>1</v>
      </c>
      <c r="T298" s="328">
        <f t="shared" si="311"/>
        <v>0</v>
      </c>
      <c r="V298" s="328">
        <f t="shared" si="326"/>
        <v>1702.4</v>
      </c>
      <c r="W298" s="328">
        <f t="shared" si="327"/>
        <v>1702.4</v>
      </c>
      <c r="X298" s="340">
        <v>1</v>
      </c>
      <c r="Y298" s="328">
        <f t="shared" si="328"/>
        <v>1702.4</v>
      </c>
      <c r="Z298" s="328">
        <f t="shared" si="329"/>
        <v>1702.4</v>
      </c>
      <c r="AA298" s="328">
        <f t="shared" si="316"/>
        <v>0</v>
      </c>
      <c r="AB298" s="328">
        <f t="shared" si="322"/>
        <v>0</v>
      </c>
      <c r="AC298" s="339">
        <f t="shared" si="317"/>
        <v>107.08333333333333</v>
      </c>
      <c r="AD298" s="325">
        <f t="shared" si="318"/>
        <v>122.75</v>
      </c>
      <c r="AE298" s="339">
        <f t="shared" si="319"/>
        <v>117.08333333333333</v>
      </c>
      <c r="AF298" s="325">
        <f t="shared" si="320"/>
        <v>121.75</v>
      </c>
      <c r="AG298" s="338">
        <f t="shared" si="321"/>
        <v>-8.3333333333333329E-2</v>
      </c>
    </row>
    <row r="299" spans="2:38">
      <c r="B299" s="408" t="s">
        <v>1147</v>
      </c>
      <c r="C299" s="333">
        <v>118</v>
      </c>
      <c r="D299" s="333">
        <v>1</v>
      </c>
      <c r="E299" s="342">
        <v>0</v>
      </c>
      <c r="G299" s="333" t="s">
        <v>888</v>
      </c>
      <c r="H299" s="333">
        <v>3</v>
      </c>
      <c r="I299" s="341">
        <f t="shared" si="305"/>
        <v>121</v>
      </c>
      <c r="L299" s="331">
        <v>425.59999999999991</v>
      </c>
      <c r="N299" s="328">
        <f t="shared" si="306"/>
        <v>425.59999999999991</v>
      </c>
      <c r="O299" s="328">
        <f t="shared" si="307"/>
        <v>11.822222222222221</v>
      </c>
      <c r="P299" s="328">
        <f t="shared" si="323"/>
        <v>0</v>
      </c>
      <c r="Q299" s="325">
        <f t="shared" si="324"/>
        <v>0</v>
      </c>
      <c r="R299" s="328">
        <f t="shared" si="325"/>
        <v>0</v>
      </c>
      <c r="S299" s="340">
        <v>1</v>
      </c>
      <c r="T299" s="328">
        <f t="shared" si="311"/>
        <v>0</v>
      </c>
      <c r="V299" s="328">
        <f t="shared" si="326"/>
        <v>425.59999999999991</v>
      </c>
      <c r="W299" s="328">
        <f t="shared" si="327"/>
        <v>425.59999999999991</v>
      </c>
      <c r="X299" s="340">
        <v>1</v>
      </c>
      <c r="Y299" s="328">
        <f t="shared" si="328"/>
        <v>425.59999999999991</v>
      </c>
      <c r="Z299" s="328">
        <f t="shared" si="329"/>
        <v>425.59999999999991</v>
      </c>
      <c r="AA299" s="328">
        <f t="shared" si="316"/>
        <v>0</v>
      </c>
      <c r="AB299" s="328">
        <f t="shared" si="322"/>
        <v>0</v>
      </c>
      <c r="AC299" s="339">
        <f t="shared" si="317"/>
        <v>118</v>
      </c>
      <c r="AD299" s="325">
        <f t="shared" si="318"/>
        <v>122.75</v>
      </c>
      <c r="AE299" s="339">
        <f t="shared" si="319"/>
        <v>121</v>
      </c>
      <c r="AF299" s="325">
        <f t="shared" si="320"/>
        <v>121.75</v>
      </c>
      <c r="AG299" s="338">
        <f t="shared" si="321"/>
        <v>-8.3333333333333329E-2</v>
      </c>
    </row>
    <row r="300" spans="2:38">
      <c r="B300" s="333" t="s">
        <v>922</v>
      </c>
      <c r="C300" s="333">
        <v>107</v>
      </c>
      <c r="D300" s="333">
        <v>2</v>
      </c>
      <c r="E300" s="342">
        <v>0</v>
      </c>
      <c r="G300" s="333" t="s">
        <v>888</v>
      </c>
      <c r="H300" s="333">
        <v>10</v>
      </c>
      <c r="I300" s="341">
        <f t="shared" si="305"/>
        <v>117</v>
      </c>
      <c r="L300" s="331">
        <v>914.4</v>
      </c>
      <c r="N300" s="328">
        <f t="shared" si="306"/>
        <v>914.4</v>
      </c>
      <c r="O300" s="328">
        <f t="shared" si="307"/>
        <v>7.62</v>
      </c>
      <c r="P300" s="328">
        <f t="shared" si="323"/>
        <v>0</v>
      </c>
      <c r="Q300" s="325">
        <f t="shared" si="324"/>
        <v>0</v>
      </c>
      <c r="R300" s="328">
        <f t="shared" si="325"/>
        <v>0</v>
      </c>
      <c r="S300" s="340">
        <v>1</v>
      </c>
      <c r="T300" s="328">
        <f t="shared" si="311"/>
        <v>0</v>
      </c>
      <c r="V300" s="328">
        <f t="shared" si="326"/>
        <v>914.4</v>
      </c>
      <c r="W300" s="328">
        <f t="shared" si="327"/>
        <v>914.4</v>
      </c>
      <c r="X300" s="340">
        <v>1</v>
      </c>
      <c r="Y300" s="328">
        <f t="shared" si="328"/>
        <v>914.4</v>
      </c>
      <c r="Z300" s="328">
        <f t="shared" si="329"/>
        <v>914.4</v>
      </c>
      <c r="AA300" s="328">
        <f t="shared" si="316"/>
        <v>0</v>
      </c>
      <c r="AB300" s="328">
        <f t="shared" si="322"/>
        <v>0</v>
      </c>
      <c r="AC300" s="339">
        <f t="shared" si="317"/>
        <v>107.08333333333333</v>
      </c>
      <c r="AD300" s="325">
        <f t="shared" si="318"/>
        <v>122.75</v>
      </c>
      <c r="AE300" s="339">
        <f t="shared" si="319"/>
        <v>117.08333333333333</v>
      </c>
      <c r="AF300" s="325">
        <f t="shared" si="320"/>
        <v>121.75</v>
      </c>
      <c r="AG300" s="338">
        <f t="shared" si="321"/>
        <v>-8.3333333333333329E-2</v>
      </c>
    </row>
    <row r="301" spans="2:38">
      <c r="B301" s="408" t="s">
        <v>1148</v>
      </c>
      <c r="C301" s="333">
        <v>118</v>
      </c>
      <c r="D301" s="333">
        <v>1</v>
      </c>
      <c r="E301" s="342">
        <v>0</v>
      </c>
      <c r="G301" s="333" t="s">
        <v>888</v>
      </c>
      <c r="H301" s="333">
        <v>3</v>
      </c>
      <c r="I301" s="341">
        <f t="shared" si="305"/>
        <v>121</v>
      </c>
      <c r="L301" s="331">
        <v>228.60000000000002</v>
      </c>
      <c r="N301" s="328">
        <f t="shared" si="306"/>
        <v>228.60000000000002</v>
      </c>
      <c r="O301" s="328">
        <f t="shared" si="307"/>
        <v>6.3500000000000005</v>
      </c>
      <c r="P301" s="328">
        <f t="shared" si="323"/>
        <v>0</v>
      </c>
      <c r="Q301" s="325">
        <f t="shared" si="324"/>
        <v>0</v>
      </c>
      <c r="R301" s="328">
        <f t="shared" si="325"/>
        <v>0</v>
      </c>
      <c r="S301" s="340">
        <v>1</v>
      </c>
      <c r="T301" s="328">
        <f t="shared" si="311"/>
        <v>0</v>
      </c>
      <c r="V301" s="328">
        <f t="shared" si="326"/>
        <v>228.60000000000002</v>
      </c>
      <c r="W301" s="328">
        <f t="shared" si="327"/>
        <v>228.60000000000002</v>
      </c>
      <c r="X301" s="340">
        <v>1</v>
      </c>
      <c r="Y301" s="328">
        <f t="shared" si="328"/>
        <v>228.60000000000002</v>
      </c>
      <c r="Z301" s="328">
        <f t="shared" si="329"/>
        <v>228.60000000000002</v>
      </c>
      <c r="AA301" s="328">
        <f t="shared" si="316"/>
        <v>0</v>
      </c>
      <c r="AB301" s="328">
        <f t="shared" si="322"/>
        <v>0</v>
      </c>
      <c r="AC301" s="339">
        <f t="shared" si="317"/>
        <v>118</v>
      </c>
      <c r="AD301" s="325">
        <f t="shared" si="318"/>
        <v>122.75</v>
      </c>
      <c r="AE301" s="339">
        <f t="shared" si="319"/>
        <v>121</v>
      </c>
      <c r="AF301" s="325">
        <f t="shared" si="320"/>
        <v>121.75</v>
      </c>
      <c r="AG301" s="338">
        <f t="shared" si="321"/>
        <v>-8.3333333333333329E-2</v>
      </c>
    </row>
    <row r="302" spans="2:38">
      <c r="B302" s="333" t="s">
        <v>921</v>
      </c>
      <c r="C302" s="333">
        <v>107</v>
      </c>
      <c r="D302" s="333">
        <v>11</v>
      </c>
      <c r="E302" s="342">
        <v>0</v>
      </c>
      <c r="G302" s="333" t="s">
        <v>888</v>
      </c>
      <c r="H302" s="333">
        <v>10</v>
      </c>
      <c r="I302" s="341">
        <f t="shared" si="305"/>
        <v>117</v>
      </c>
      <c r="L302" s="331">
        <v>1123.2</v>
      </c>
      <c r="N302" s="328">
        <f t="shared" si="306"/>
        <v>1123.2</v>
      </c>
      <c r="O302" s="328">
        <f t="shared" si="307"/>
        <v>9.3600000000000012</v>
      </c>
      <c r="P302" s="328">
        <f t="shared" si="323"/>
        <v>0</v>
      </c>
      <c r="Q302" s="325">
        <f t="shared" si="324"/>
        <v>0</v>
      </c>
      <c r="R302" s="328">
        <f t="shared" si="325"/>
        <v>0</v>
      </c>
      <c r="S302" s="340">
        <v>1</v>
      </c>
      <c r="T302" s="328">
        <f t="shared" si="311"/>
        <v>0</v>
      </c>
      <c r="V302" s="328">
        <f t="shared" si="326"/>
        <v>1123.2</v>
      </c>
      <c r="W302" s="328">
        <f t="shared" si="327"/>
        <v>1123.2</v>
      </c>
      <c r="X302" s="340">
        <v>1</v>
      </c>
      <c r="Y302" s="328">
        <f t="shared" si="328"/>
        <v>1123.2</v>
      </c>
      <c r="Z302" s="328">
        <f t="shared" si="329"/>
        <v>1123.2</v>
      </c>
      <c r="AA302" s="328">
        <f t="shared" si="316"/>
        <v>0</v>
      </c>
      <c r="AB302" s="328">
        <f t="shared" si="322"/>
        <v>0</v>
      </c>
      <c r="AC302" s="339">
        <f t="shared" si="317"/>
        <v>107.83333333333333</v>
      </c>
      <c r="AD302" s="325">
        <f t="shared" si="318"/>
        <v>122.75</v>
      </c>
      <c r="AE302" s="339">
        <f t="shared" si="319"/>
        <v>117.83333333333333</v>
      </c>
      <c r="AF302" s="325">
        <f t="shared" si="320"/>
        <v>121.75</v>
      </c>
      <c r="AG302" s="338">
        <f t="shared" si="321"/>
        <v>-8.3333333333333329E-2</v>
      </c>
    </row>
    <row r="303" spans="2:38">
      <c r="B303" s="408" t="s">
        <v>1149</v>
      </c>
      <c r="C303" s="333">
        <v>118</v>
      </c>
      <c r="D303" s="333">
        <v>1</v>
      </c>
      <c r="E303" s="342">
        <v>0</v>
      </c>
      <c r="G303" s="333" t="s">
        <v>888</v>
      </c>
      <c r="H303" s="333">
        <v>3</v>
      </c>
      <c r="I303" s="341">
        <f t="shared" si="305"/>
        <v>121</v>
      </c>
      <c r="L303" s="331">
        <v>280.79999999999995</v>
      </c>
      <c r="N303" s="328">
        <f t="shared" si="306"/>
        <v>280.79999999999995</v>
      </c>
      <c r="O303" s="328">
        <f t="shared" si="307"/>
        <v>7.799999999999998</v>
      </c>
      <c r="P303" s="328">
        <f t="shared" si="323"/>
        <v>0</v>
      </c>
      <c r="Q303" s="325">
        <f t="shared" si="324"/>
        <v>0</v>
      </c>
      <c r="R303" s="328">
        <f t="shared" si="325"/>
        <v>0</v>
      </c>
      <c r="S303" s="340">
        <v>1</v>
      </c>
      <c r="T303" s="328">
        <f t="shared" si="311"/>
        <v>0</v>
      </c>
      <c r="V303" s="328">
        <f t="shared" si="326"/>
        <v>280.79999999999995</v>
      </c>
      <c r="W303" s="328">
        <f t="shared" si="327"/>
        <v>280.79999999999995</v>
      </c>
      <c r="X303" s="340">
        <v>1</v>
      </c>
      <c r="Y303" s="328">
        <f t="shared" si="328"/>
        <v>280.79999999999995</v>
      </c>
      <c r="Z303" s="328">
        <f t="shared" si="329"/>
        <v>280.79999999999995</v>
      </c>
      <c r="AA303" s="328">
        <f t="shared" si="316"/>
        <v>0</v>
      </c>
      <c r="AB303" s="328">
        <f t="shared" si="322"/>
        <v>0</v>
      </c>
      <c r="AC303" s="339">
        <f t="shared" si="317"/>
        <v>118</v>
      </c>
      <c r="AD303" s="325">
        <f t="shared" si="318"/>
        <v>122.75</v>
      </c>
      <c r="AE303" s="339">
        <f t="shared" si="319"/>
        <v>121</v>
      </c>
      <c r="AF303" s="325">
        <f t="shared" si="320"/>
        <v>121.75</v>
      </c>
      <c r="AG303" s="338">
        <f t="shared" si="321"/>
        <v>-8.3333333333333329E-2</v>
      </c>
    </row>
    <row r="304" spans="2:38">
      <c r="B304" s="700" t="s">
        <v>920</v>
      </c>
      <c r="C304" s="333">
        <v>108</v>
      </c>
      <c r="D304" s="333">
        <v>7</v>
      </c>
      <c r="E304" s="342">
        <v>0</v>
      </c>
      <c r="G304" s="333" t="s">
        <v>888</v>
      </c>
      <c r="H304" s="333">
        <v>10</v>
      </c>
      <c r="I304" s="341">
        <f t="shared" si="305"/>
        <v>118</v>
      </c>
      <c r="J304" s="325">
        <v>121</v>
      </c>
      <c r="K304" s="325">
        <v>10</v>
      </c>
      <c r="L304" s="331">
        <v>3283.2</v>
      </c>
      <c r="M304" s="325">
        <v>10</v>
      </c>
      <c r="N304" s="328">
        <f t="shared" si="306"/>
        <v>3283.2</v>
      </c>
      <c r="O304" s="328">
        <f t="shared" si="307"/>
        <v>27.36</v>
      </c>
      <c r="P304" s="414">
        <v>0</v>
      </c>
      <c r="Q304" s="325">
        <f t="shared" si="324"/>
        <v>0</v>
      </c>
      <c r="R304" s="328">
        <f t="shared" si="325"/>
        <v>0</v>
      </c>
      <c r="S304" s="340">
        <v>1</v>
      </c>
      <c r="T304" s="328">
        <f t="shared" si="311"/>
        <v>0</v>
      </c>
      <c r="V304" s="328">
        <f t="shared" si="326"/>
        <v>3283.2</v>
      </c>
      <c r="W304" s="328">
        <f t="shared" si="327"/>
        <v>3283.2</v>
      </c>
      <c r="X304" s="340">
        <v>1</v>
      </c>
      <c r="Y304" s="328">
        <f t="shared" si="328"/>
        <v>3283.2</v>
      </c>
      <c r="Z304" s="328">
        <f t="shared" si="329"/>
        <v>0</v>
      </c>
      <c r="AA304" s="328">
        <f t="shared" si="316"/>
        <v>0</v>
      </c>
      <c r="AB304" s="701">
        <v>0</v>
      </c>
      <c r="AC304" s="339">
        <f t="shared" si="317"/>
        <v>108.5</v>
      </c>
      <c r="AD304" s="325">
        <f t="shared" si="318"/>
        <v>122.75</v>
      </c>
      <c r="AE304" s="339">
        <f t="shared" si="319"/>
        <v>118.5</v>
      </c>
      <c r="AF304" s="325">
        <f t="shared" si="320"/>
        <v>121.75</v>
      </c>
      <c r="AG304" s="338">
        <f t="shared" si="321"/>
        <v>121.75</v>
      </c>
      <c r="AH304" s="360">
        <v>44378</v>
      </c>
      <c r="AI304" s="659">
        <v>0</v>
      </c>
      <c r="AJ304" s="659">
        <f t="shared" ref="AJ304:AJ305" si="330">L304</f>
        <v>3283.2</v>
      </c>
      <c r="AK304" s="659">
        <f t="shared" ref="AK304:AK305" si="331">V304+R304</f>
        <v>3283.2</v>
      </c>
      <c r="AL304" s="443">
        <f t="shared" ref="AL304:AL305" si="332">AI304-(AJ304-AK304)</f>
        <v>0</v>
      </c>
    </row>
    <row r="305" spans="1:38">
      <c r="B305" s="700" t="s">
        <v>1150</v>
      </c>
      <c r="C305" s="333">
        <v>118</v>
      </c>
      <c r="D305" s="333">
        <v>1</v>
      </c>
      <c r="E305" s="342">
        <v>0</v>
      </c>
      <c r="G305" s="333" t="s">
        <v>888</v>
      </c>
      <c r="H305" s="333">
        <v>3</v>
      </c>
      <c r="I305" s="341">
        <f t="shared" si="305"/>
        <v>121</v>
      </c>
      <c r="J305" s="325">
        <v>121</v>
      </c>
      <c r="K305" s="325">
        <v>10</v>
      </c>
      <c r="L305" s="331">
        <v>820.80000000000018</v>
      </c>
      <c r="M305" s="325">
        <v>10</v>
      </c>
      <c r="N305" s="328">
        <f t="shared" si="306"/>
        <v>820.80000000000018</v>
      </c>
      <c r="O305" s="328">
        <f t="shared" si="307"/>
        <v>22.800000000000008</v>
      </c>
      <c r="P305" s="328">
        <f t="shared" si="323"/>
        <v>0</v>
      </c>
      <c r="Q305" s="325">
        <f t="shared" si="324"/>
        <v>0</v>
      </c>
      <c r="R305" s="328">
        <f t="shared" si="325"/>
        <v>0</v>
      </c>
      <c r="S305" s="340">
        <v>1</v>
      </c>
      <c r="T305" s="328">
        <f t="shared" si="311"/>
        <v>0</v>
      </c>
      <c r="V305" s="328">
        <f t="shared" si="326"/>
        <v>820.80000000000018</v>
      </c>
      <c r="W305" s="328">
        <f t="shared" si="327"/>
        <v>820.80000000000018</v>
      </c>
      <c r="X305" s="340">
        <v>1</v>
      </c>
      <c r="Y305" s="328">
        <f t="shared" si="328"/>
        <v>820.80000000000018</v>
      </c>
      <c r="Z305" s="328">
        <f t="shared" si="329"/>
        <v>0</v>
      </c>
      <c r="AA305" s="328">
        <f t="shared" si="316"/>
        <v>0</v>
      </c>
      <c r="AB305" s="701">
        <v>0</v>
      </c>
      <c r="AC305" s="339">
        <f t="shared" si="317"/>
        <v>118</v>
      </c>
      <c r="AD305" s="325">
        <f t="shared" si="318"/>
        <v>122.75</v>
      </c>
      <c r="AE305" s="339">
        <f t="shared" si="319"/>
        <v>121</v>
      </c>
      <c r="AF305" s="325">
        <f t="shared" si="320"/>
        <v>121.75</v>
      </c>
      <c r="AG305" s="338">
        <f t="shared" si="321"/>
        <v>121.75</v>
      </c>
      <c r="AH305" s="360">
        <v>44378</v>
      </c>
      <c r="AI305" s="659">
        <v>0</v>
      </c>
      <c r="AJ305" s="659">
        <f t="shared" si="330"/>
        <v>820.80000000000018</v>
      </c>
      <c r="AK305" s="659">
        <f t="shared" si="331"/>
        <v>820.80000000000018</v>
      </c>
      <c r="AL305" s="443">
        <f t="shared" si="332"/>
        <v>0</v>
      </c>
    </row>
    <row r="306" spans="1:38">
      <c r="B306" s="333" t="s">
        <v>919</v>
      </c>
      <c r="C306" s="333">
        <v>109</v>
      </c>
      <c r="D306" s="333">
        <v>7</v>
      </c>
      <c r="E306" s="342">
        <v>0</v>
      </c>
      <c r="G306" s="333" t="s">
        <v>888</v>
      </c>
      <c r="H306" s="333">
        <v>10</v>
      </c>
      <c r="I306" s="341">
        <f t="shared" si="305"/>
        <v>119</v>
      </c>
      <c r="L306" s="331">
        <v>795</v>
      </c>
      <c r="N306" s="328">
        <f t="shared" si="306"/>
        <v>795</v>
      </c>
      <c r="O306" s="328">
        <f t="shared" si="307"/>
        <v>6.625</v>
      </c>
      <c r="P306" s="328">
        <f t="shared" si="308"/>
        <v>0</v>
      </c>
      <c r="Q306" s="325">
        <f t="shared" si="309"/>
        <v>0</v>
      </c>
      <c r="R306" s="328">
        <f t="shared" si="310"/>
        <v>0</v>
      </c>
      <c r="S306" s="340">
        <v>1</v>
      </c>
      <c r="T306" s="328">
        <f t="shared" si="311"/>
        <v>0</v>
      </c>
      <c r="V306" s="328">
        <f t="shared" si="312"/>
        <v>795</v>
      </c>
      <c r="W306" s="328">
        <f t="shared" si="313"/>
        <v>795</v>
      </c>
      <c r="X306" s="340">
        <v>1</v>
      </c>
      <c r="Y306" s="328">
        <f t="shared" si="314"/>
        <v>795</v>
      </c>
      <c r="Z306" s="328">
        <f t="shared" si="315"/>
        <v>795</v>
      </c>
      <c r="AA306" s="328">
        <f t="shared" si="316"/>
        <v>0</v>
      </c>
      <c r="AB306" s="328">
        <f t="shared" si="322"/>
        <v>0</v>
      </c>
      <c r="AC306" s="339">
        <f t="shared" si="317"/>
        <v>109.5</v>
      </c>
      <c r="AD306" s="325">
        <f t="shared" si="318"/>
        <v>122.75</v>
      </c>
      <c r="AE306" s="339">
        <f t="shared" si="319"/>
        <v>119.5</v>
      </c>
      <c r="AF306" s="325">
        <f t="shared" si="320"/>
        <v>121.75</v>
      </c>
      <c r="AG306" s="338">
        <f t="shared" si="321"/>
        <v>-8.3333333333333329E-2</v>
      </c>
    </row>
    <row r="307" spans="1:38">
      <c r="B307" s="333" t="s">
        <v>918</v>
      </c>
      <c r="C307" s="333">
        <v>108</v>
      </c>
      <c r="D307" s="333">
        <v>12</v>
      </c>
      <c r="E307" s="342">
        <v>0</v>
      </c>
      <c r="G307" s="333" t="s">
        <v>888</v>
      </c>
      <c r="H307" s="333">
        <v>10</v>
      </c>
      <c r="I307" s="341">
        <f t="shared" si="305"/>
        <v>118</v>
      </c>
      <c r="L307" s="331">
        <v>2646</v>
      </c>
      <c r="N307" s="328">
        <f t="shared" si="306"/>
        <v>2646</v>
      </c>
      <c r="O307" s="328">
        <f t="shared" si="307"/>
        <v>22.05</v>
      </c>
      <c r="P307" s="414">
        <v>0</v>
      </c>
      <c r="Q307" s="325">
        <f t="shared" si="309"/>
        <v>0</v>
      </c>
      <c r="R307" s="328">
        <f t="shared" si="310"/>
        <v>0</v>
      </c>
      <c r="S307" s="340">
        <v>1</v>
      </c>
      <c r="T307" s="328">
        <f t="shared" si="311"/>
        <v>0</v>
      </c>
      <c r="V307" s="328">
        <f t="shared" si="312"/>
        <v>2646</v>
      </c>
      <c r="W307" s="328">
        <f t="shared" si="313"/>
        <v>2646</v>
      </c>
      <c r="X307" s="340">
        <v>1</v>
      </c>
      <c r="Y307" s="328">
        <f t="shared" si="314"/>
        <v>2646</v>
      </c>
      <c r="Z307" s="328">
        <f t="shared" si="315"/>
        <v>2646</v>
      </c>
      <c r="AA307" s="328">
        <f t="shared" si="316"/>
        <v>0</v>
      </c>
      <c r="AB307" s="328">
        <f t="shared" si="322"/>
        <v>0</v>
      </c>
      <c r="AC307" s="339">
        <f t="shared" si="317"/>
        <v>108.91666666666667</v>
      </c>
      <c r="AD307" s="325">
        <f t="shared" si="318"/>
        <v>122.75</v>
      </c>
      <c r="AE307" s="339">
        <f t="shared" si="319"/>
        <v>118.91666666666667</v>
      </c>
      <c r="AF307" s="325">
        <f t="shared" si="320"/>
        <v>121.75</v>
      </c>
      <c r="AG307" s="338">
        <f t="shared" si="321"/>
        <v>-8.3333333333333329E-2</v>
      </c>
    </row>
    <row r="308" spans="1:38">
      <c r="A308" s="658"/>
      <c r="B308" s="333" t="s">
        <v>917</v>
      </c>
      <c r="C308" s="333">
        <v>112</v>
      </c>
      <c r="D308" s="333">
        <v>12</v>
      </c>
      <c r="E308" s="702">
        <v>0</v>
      </c>
      <c r="G308" s="333" t="s">
        <v>888</v>
      </c>
      <c r="H308" s="333">
        <v>10</v>
      </c>
      <c r="I308" s="341">
        <f t="shared" si="305"/>
        <v>122</v>
      </c>
      <c r="L308" s="331">
        <v>10063</v>
      </c>
      <c r="N308" s="328">
        <f t="shared" si="306"/>
        <v>10063</v>
      </c>
      <c r="O308" s="328">
        <f t="shared" si="307"/>
        <v>83.858333333333334</v>
      </c>
      <c r="P308" s="328">
        <f t="shared" si="308"/>
        <v>1006.3</v>
      </c>
      <c r="Q308" s="325">
        <f t="shared" si="309"/>
        <v>0</v>
      </c>
      <c r="R308" s="328">
        <f t="shared" si="310"/>
        <v>1006.3</v>
      </c>
      <c r="S308" s="340">
        <v>1</v>
      </c>
      <c r="T308" s="328">
        <f t="shared" si="311"/>
        <v>1006.3</v>
      </c>
      <c r="V308" s="328">
        <f t="shared" si="312"/>
        <v>8888.9833333333281</v>
      </c>
      <c r="W308" s="328">
        <f t="shared" si="313"/>
        <v>8888.9833333333281</v>
      </c>
      <c r="X308" s="340">
        <v>1</v>
      </c>
      <c r="Y308" s="328">
        <f t="shared" si="314"/>
        <v>8888.9833333333281</v>
      </c>
      <c r="Z308" s="328">
        <f t="shared" si="315"/>
        <v>9895.2833333333274</v>
      </c>
      <c r="AA308" s="328">
        <f t="shared" si="316"/>
        <v>670.86666666667224</v>
      </c>
      <c r="AB308" s="328">
        <f t="shared" si="322"/>
        <v>167.71666666667261</v>
      </c>
      <c r="AC308" s="339">
        <f t="shared" si="317"/>
        <v>112.91666666666667</v>
      </c>
      <c r="AD308" s="325">
        <f t="shared" si="318"/>
        <v>122.75</v>
      </c>
      <c r="AE308" s="339">
        <f t="shared" si="319"/>
        <v>122.91666666666667</v>
      </c>
      <c r="AF308" s="325">
        <f t="shared" si="320"/>
        <v>121.75</v>
      </c>
      <c r="AG308" s="338">
        <f t="shared" si="321"/>
        <v>-8.3333333333333329E-2</v>
      </c>
    </row>
    <row r="309" spans="1:38">
      <c r="A309" s="658"/>
      <c r="B309" s="333" t="s">
        <v>916</v>
      </c>
      <c r="C309" s="333">
        <v>116</v>
      </c>
      <c r="D309" s="333">
        <v>8</v>
      </c>
      <c r="E309" s="702">
        <v>0</v>
      </c>
      <c r="G309" s="333" t="s">
        <v>888</v>
      </c>
      <c r="H309" s="333">
        <v>10</v>
      </c>
      <c r="I309" s="341">
        <f t="shared" si="305"/>
        <v>126</v>
      </c>
      <c r="L309" s="331">
        <v>3040</v>
      </c>
      <c r="N309" s="328">
        <f t="shared" si="306"/>
        <v>3040</v>
      </c>
      <c r="O309" s="328">
        <f t="shared" si="307"/>
        <v>25.333333333333332</v>
      </c>
      <c r="P309" s="328">
        <f t="shared" si="308"/>
        <v>304</v>
      </c>
      <c r="Q309" s="325">
        <f t="shared" si="309"/>
        <v>0</v>
      </c>
      <c r="R309" s="328">
        <f t="shared" si="310"/>
        <v>304</v>
      </c>
      <c r="S309" s="340">
        <v>1</v>
      </c>
      <c r="T309" s="328">
        <f t="shared" si="311"/>
        <v>304</v>
      </c>
      <c r="V309" s="328">
        <f t="shared" si="312"/>
        <v>1570.6666666666681</v>
      </c>
      <c r="W309" s="328">
        <f t="shared" si="313"/>
        <v>1570.6666666666681</v>
      </c>
      <c r="X309" s="340">
        <v>1</v>
      </c>
      <c r="Y309" s="328">
        <f t="shared" si="314"/>
        <v>1570.6666666666681</v>
      </c>
      <c r="Z309" s="328">
        <f t="shared" si="315"/>
        <v>1874.6666666666681</v>
      </c>
      <c r="AA309" s="328">
        <f t="shared" si="316"/>
        <v>1317.3333333333319</v>
      </c>
      <c r="AB309" s="328">
        <f t="shared" si="322"/>
        <v>1165.3333333333319</v>
      </c>
      <c r="AC309" s="339">
        <f t="shared" si="317"/>
        <v>116.58333333333333</v>
      </c>
      <c r="AD309" s="325">
        <f t="shared" si="318"/>
        <v>122.75</v>
      </c>
      <c r="AE309" s="339">
        <f t="shared" si="319"/>
        <v>126.58333333333333</v>
      </c>
      <c r="AF309" s="325">
        <f t="shared" si="320"/>
        <v>121.75</v>
      </c>
      <c r="AG309" s="338">
        <f t="shared" si="321"/>
        <v>-8.3333333333333329E-2</v>
      </c>
    </row>
    <row r="310" spans="1:38">
      <c r="A310" s="658"/>
      <c r="B310" s="333" t="s">
        <v>915</v>
      </c>
      <c r="C310" s="333">
        <v>118</v>
      </c>
      <c r="D310" s="333">
        <v>8</v>
      </c>
      <c r="E310" s="702">
        <v>0</v>
      </c>
      <c r="G310" s="333" t="s">
        <v>888</v>
      </c>
      <c r="H310" s="333">
        <v>10</v>
      </c>
      <c r="I310" s="341">
        <f t="shared" ref="I310:I314" si="333">+C310+H310</f>
        <v>128</v>
      </c>
      <c r="L310" s="646">
        <v>3084</v>
      </c>
      <c r="N310" s="328">
        <f t="shared" ref="N310:N314" si="334">L310-L310*E310</f>
        <v>3084</v>
      </c>
      <c r="O310" s="328">
        <f t="shared" ref="O310:O314" si="335">N310/H310/12</f>
        <v>25.7</v>
      </c>
      <c r="P310" s="328">
        <f t="shared" si="308"/>
        <v>308.39999999999998</v>
      </c>
      <c r="Q310" s="325">
        <f t="shared" ref="Q310:Q314" si="336">IF(M310=0,0,IF(AND(AG310&gt;=AF310,AG310&lt;=AE310),((AG310-AF310)*12)*O310,0))</f>
        <v>0</v>
      </c>
      <c r="R310" s="328">
        <f t="shared" ref="R310:R314" si="337">IF(Q310&gt;0,Q310,P310)</f>
        <v>308.39999999999998</v>
      </c>
      <c r="S310" s="340">
        <v>1</v>
      </c>
      <c r="T310" s="328">
        <f t="shared" ref="T310:T314" si="338">S310*SUM(P310:Q310)</f>
        <v>308.39999999999998</v>
      </c>
      <c r="V310" s="328">
        <f t="shared" ref="V310:V314" si="339">IF(AC310&gt;AD310,0,IF(AE310&lt;AF310,N310,IF(AND(AE310&gt;=AF310,AE310&lt;=AD310),(N310-R310),IF(AND(AF310&lt;=AC310,AD310&gt;=AC310),0,IF(AE310&gt;AD310,((AF310-AC310)*12)*O310,0)))))</f>
        <v>976.60000000000139</v>
      </c>
      <c r="W310" s="328">
        <f t="shared" ref="W310:W314" si="340">V310*S310</f>
        <v>976.60000000000139</v>
      </c>
      <c r="X310" s="340">
        <v>1</v>
      </c>
      <c r="Y310" s="328">
        <f t="shared" ref="Y310:Y314" si="341">W310*X310</f>
        <v>976.60000000000139</v>
      </c>
      <c r="Z310" s="328">
        <f t="shared" ref="Z310:Z314" si="342">IF(M310&gt;0,0,Y310+T310*X310)*X310</f>
        <v>1285.0000000000014</v>
      </c>
      <c r="AA310" s="328">
        <f t="shared" ref="AA310:AA314" si="343">IF(M310&gt;0,(L310-Y310)/2,IF(AC310&gt;=AF310,(((L310*S310)*X310)-Z310)/2,((((L310*S310)*X310)-Y310)+(((L310*S310)*X310)-Z310))/2))</f>
        <v>1953.1999999999987</v>
      </c>
      <c r="AB310" s="328">
        <f t="shared" ref="AB310:AB314" si="344">L310-Z310</f>
        <v>1798.9999999999986</v>
      </c>
      <c r="AC310" s="339">
        <f t="shared" si="317"/>
        <v>118.58333333333333</v>
      </c>
      <c r="AD310" s="325">
        <f t="shared" si="318"/>
        <v>122.75</v>
      </c>
      <c r="AE310" s="339">
        <f t="shared" si="319"/>
        <v>128.58333333333334</v>
      </c>
      <c r="AF310" s="325">
        <f t="shared" si="320"/>
        <v>121.75</v>
      </c>
      <c r="AG310" s="338">
        <f t="shared" si="321"/>
        <v>-8.3333333333333329E-2</v>
      </c>
    </row>
    <row r="311" spans="1:38">
      <c r="A311" s="658"/>
      <c r="B311" s="333" t="s">
        <v>1299</v>
      </c>
      <c r="C311" s="333">
        <v>119</v>
      </c>
      <c r="D311" s="333">
        <v>3</v>
      </c>
      <c r="E311" s="702">
        <v>0</v>
      </c>
      <c r="G311" s="333" t="s">
        <v>888</v>
      </c>
      <c r="H311" s="333">
        <v>10</v>
      </c>
      <c r="I311" s="341">
        <f t="shared" si="333"/>
        <v>129</v>
      </c>
      <c r="L311" s="440">
        <v>550</v>
      </c>
      <c r="N311" s="328">
        <f t="shared" si="334"/>
        <v>550</v>
      </c>
      <c r="O311" s="328">
        <f t="shared" si="335"/>
        <v>4.583333333333333</v>
      </c>
      <c r="P311" s="328">
        <f t="shared" si="308"/>
        <v>55</v>
      </c>
      <c r="Q311" s="325">
        <f t="shared" si="336"/>
        <v>0</v>
      </c>
      <c r="R311" s="328">
        <f t="shared" si="337"/>
        <v>55</v>
      </c>
      <c r="S311" s="340">
        <v>1</v>
      </c>
      <c r="T311" s="328">
        <f t="shared" si="338"/>
        <v>55</v>
      </c>
      <c r="V311" s="328">
        <f t="shared" si="339"/>
        <v>142.08333333333306</v>
      </c>
      <c r="W311" s="328">
        <f t="shared" si="340"/>
        <v>142.08333333333306</v>
      </c>
      <c r="X311" s="340">
        <v>1</v>
      </c>
      <c r="Y311" s="328">
        <f t="shared" si="341"/>
        <v>142.08333333333306</v>
      </c>
      <c r="Z311" s="328">
        <f t="shared" si="342"/>
        <v>197.08333333333306</v>
      </c>
      <c r="AA311" s="328">
        <f t="shared" si="343"/>
        <v>380.41666666666697</v>
      </c>
      <c r="AB311" s="328">
        <f t="shared" si="344"/>
        <v>352.91666666666697</v>
      </c>
      <c r="AC311" s="339">
        <f t="shared" si="317"/>
        <v>119.16666666666667</v>
      </c>
      <c r="AD311" s="325">
        <f t="shared" si="318"/>
        <v>122.75</v>
      </c>
      <c r="AE311" s="339">
        <f t="shared" si="319"/>
        <v>129.16666666666666</v>
      </c>
      <c r="AF311" s="325">
        <f t="shared" si="320"/>
        <v>121.75</v>
      </c>
      <c r="AG311" s="338">
        <f t="shared" si="321"/>
        <v>-8.3333333333333329E-2</v>
      </c>
    </row>
    <row r="312" spans="1:38">
      <c r="A312" s="658"/>
      <c r="B312" s="333" t="s">
        <v>1300</v>
      </c>
      <c r="C312" s="333">
        <v>119</v>
      </c>
      <c r="D312" s="333">
        <v>8</v>
      </c>
      <c r="E312" s="702">
        <v>0</v>
      </c>
      <c r="G312" s="333" t="s">
        <v>888</v>
      </c>
      <c r="H312" s="333">
        <v>10</v>
      </c>
      <c r="I312" s="341">
        <f t="shared" si="333"/>
        <v>129</v>
      </c>
      <c r="L312" s="440">
        <v>9738</v>
      </c>
      <c r="N312" s="328">
        <f t="shared" si="334"/>
        <v>9738</v>
      </c>
      <c r="O312" s="328">
        <f t="shared" si="335"/>
        <v>81.149999999999991</v>
      </c>
      <c r="P312" s="328">
        <f t="shared" ref="P312:P314" si="345">IF(M312&gt;0,0,IF(OR(AC312&gt;AD312,AE312&lt;AF312),0,IF(AND(AE312&gt;=AF312,AE312&lt;=AD312),O312*((AE312-AF312)*12),IF(AND(AF312&lt;=AC312,AD312&gt;=AC312),((AD312-AC312)*12)*O312,IF(AE312&gt;AD312,12*O312,0)))))</f>
        <v>973.8</v>
      </c>
      <c r="Q312" s="325">
        <f t="shared" si="336"/>
        <v>0</v>
      </c>
      <c r="R312" s="328">
        <f t="shared" si="337"/>
        <v>973.8</v>
      </c>
      <c r="S312" s="340">
        <v>1</v>
      </c>
      <c r="T312" s="328">
        <f t="shared" si="338"/>
        <v>973.8</v>
      </c>
      <c r="V312" s="328">
        <f t="shared" si="339"/>
        <v>2109.9000000000042</v>
      </c>
      <c r="W312" s="328">
        <f t="shared" si="340"/>
        <v>2109.9000000000042</v>
      </c>
      <c r="X312" s="340">
        <v>1</v>
      </c>
      <c r="Y312" s="328">
        <f t="shared" si="341"/>
        <v>2109.9000000000042</v>
      </c>
      <c r="Z312" s="328">
        <f t="shared" si="342"/>
        <v>3083.7000000000044</v>
      </c>
      <c r="AA312" s="328">
        <f t="shared" si="343"/>
        <v>7141.1999999999953</v>
      </c>
      <c r="AB312" s="328">
        <f t="shared" si="344"/>
        <v>6654.2999999999956</v>
      </c>
      <c r="AC312" s="339">
        <f t="shared" si="317"/>
        <v>119.58333333333333</v>
      </c>
      <c r="AD312" s="325">
        <f t="shared" si="318"/>
        <v>122.75</v>
      </c>
      <c r="AE312" s="339">
        <f t="shared" si="319"/>
        <v>129.58333333333334</v>
      </c>
      <c r="AF312" s="325">
        <f t="shared" si="320"/>
        <v>121.75</v>
      </c>
      <c r="AG312" s="338">
        <f t="shared" si="321"/>
        <v>-8.3333333333333329E-2</v>
      </c>
    </row>
    <row r="313" spans="1:38">
      <c r="A313" s="658"/>
      <c r="B313" s="333" t="s">
        <v>1334</v>
      </c>
      <c r="C313" s="333">
        <v>120</v>
      </c>
      <c r="D313" s="333">
        <v>8</v>
      </c>
      <c r="E313" s="702">
        <v>0</v>
      </c>
      <c r="G313" s="333" t="s">
        <v>888</v>
      </c>
      <c r="H313" s="333">
        <v>10</v>
      </c>
      <c r="I313" s="341">
        <f t="shared" si="333"/>
        <v>130</v>
      </c>
      <c r="L313" s="646">
        <v>2166</v>
      </c>
      <c r="N313" s="328">
        <f t="shared" si="334"/>
        <v>2166</v>
      </c>
      <c r="O313" s="328">
        <f t="shared" si="335"/>
        <v>18.05</v>
      </c>
      <c r="P313" s="328">
        <f t="shared" si="345"/>
        <v>216.60000000000002</v>
      </c>
      <c r="Q313" s="325">
        <f t="shared" si="336"/>
        <v>0</v>
      </c>
      <c r="R313" s="328">
        <f t="shared" si="337"/>
        <v>216.60000000000002</v>
      </c>
      <c r="S313" s="340">
        <v>1</v>
      </c>
      <c r="T313" s="328">
        <f t="shared" si="338"/>
        <v>216.60000000000002</v>
      </c>
      <c r="V313" s="328">
        <f t="shared" si="339"/>
        <v>252.70000000000104</v>
      </c>
      <c r="W313" s="328">
        <f t="shared" si="340"/>
        <v>252.70000000000104</v>
      </c>
      <c r="X313" s="340">
        <v>1</v>
      </c>
      <c r="Y313" s="328">
        <f t="shared" si="341"/>
        <v>252.70000000000104</v>
      </c>
      <c r="Z313" s="328">
        <f t="shared" si="342"/>
        <v>469.30000000000109</v>
      </c>
      <c r="AA313" s="328">
        <f t="shared" si="343"/>
        <v>1804.9999999999991</v>
      </c>
      <c r="AB313" s="328">
        <f t="shared" si="344"/>
        <v>1696.6999999999989</v>
      </c>
      <c r="AC313" s="339">
        <f t="shared" si="317"/>
        <v>120.58333333333333</v>
      </c>
      <c r="AD313" s="325">
        <f t="shared" si="318"/>
        <v>122.75</v>
      </c>
      <c r="AE313" s="339">
        <f t="shared" si="319"/>
        <v>130.58333333333334</v>
      </c>
      <c r="AF313" s="325">
        <f t="shared" si="320"/>
        <v>121.75</v>
      </c>
      <c r="AG313" s="338">
        <f t="shared" si="321"/>
        <v>-8.3333333333333329E-2</v>
      </c>
    </row>
    <row r="314" spans="1:38">
      <c r="A314" s="658"/>
      <c r="B314" s="333" t="s">
        <v>1394</v>
      </c>
      <c r="C314" s="333">
        <v>121</v>
      </c>
      <c r="D314" s="333">
        <v>10</v>
      </c>
      <c r="E314" s="702">
        <v>0</v>
      </c>
      <c r="G314" s="333" t="s">
        <v>888</v>
      </c>
      <c r="H314" s="333">
        <v>10</v>
      </c>
      <c r="I314" s="341">
        <f t="shared" si="333"/>
        <v>131</v>
      </c>
      <c r="L314" s="646">
        <v>6931</v>
      </c>
      <c r="N314" s="328">
        <f t="shared" si="334"/>
        <v>6931</v>
      </c>
      <c r="O314" s="328">
        <f t="shared" si="335"/>
        <v>57.758333333333333</v>
      </c>
      <c r="P314" s="328">
        <f t="shared" si="345"/>
        <v>693.1</v>
      </c>
      <c r="Q314" s="325">
        <f t="shared" si="336"/>
        <v>0</v>
      </c>
      <c r="R314" s="328">
        <f t="shared" si="337"/>
        <v>693.1</v>
      </c>
      <c r="S314" s="340">
        <v>1</v>
      </c>
      <c r="T314" s="328">
        <f t="shared" si="338"/>
        <v>693.1</v>
      </c>
      <c r="V314" s="328">
        <f t="shared" si="339"/>
        <v>0</v>
      </c>
      <c r="W314" s="328">
        <f t="shared" si="340"/>
        <v>0</v>
      </c>
      <c r="X314" s="340">
        <v>1</v>
      </c>
      <c r="Y314" s="328">
        <f t="shared" si="341"/>
        <v>0</v>
      </c>
      <c r="Z314" s="328">
        <f t="shared" si="342"/>
        <v>693.1</v>
      </c>
      <c r="AA314" s="328">
        <f t="shared" si="343"/>
        <v>3118.95</v>
      </c>
      <c r="AB314" s="328">
        <f t="shared" si="344"/>
        <v>6237.9</v>
      </c>
      <c r="AC314" s="339">
        <f t="shared" si="317"/>
        <v>121.75</v>
      </c>
      <c r="AD314" s="325">
        <f t="shared" si="318"/>
        <v>122.75</v>
      </c>
      <c r="AE314" s="339">
        <f t="shared" si="319"/>
        <v>131.75</v>
      </c>
      <c r="AF314" s="325">
        <f t="shared" si="320"/>
        <v>121.75</v>
      </c>
      <c r="AG314" s="338">
        <f t="shared" si="321"/>
        <v>-8.3333333333333329E-2</v>
      </c>
    </row>
    <row r="315" spans="1:38">
      <c r="A315" s="658"/>
      <c r="B315" s="333" t="s">
        <v>1475</v>
      </c>
      <c r="C315" s="333">
        <v>122</v>
      </c>
      <c r="D315" s="333">
        <v>9</v>
      </c>
      <c r="E315" s="702">
        <v>0</v>
      </c>
      <c r="G315" s="333" t="s">
        <v>888</v>
      </c>
      <c r="H315" s="333">
        <v>10</v>
      </c>
      <c r="I315" s="341">
        <f t="shared" si="305"/>
        <v>132</v>
      </c>
      <c r="L315" s="646">
        <v>8108</v>
      </c>
      <c r="N315" s="328">
        <f t="shared" si="306"/>
        <v>8108</v>
      </c>
      <c r="O315" s="328">
        <f t="shared" si="307"/>
        <v>67.566666666666663</v>
      </c>
      <c r="P315" s="328">
        <f t="shared" si="308"/>
        <v>67.566666666662826</v>
      </c>
      <c r="Q315" s="325">
        <f t="shared" si="309"/>
        <v>0</v>
      </c>
      <c r="R315" s="328">
        <f t="shared" si="310"/>
        <v>67.566666666662826</v>
      </c>
      <c r="S315" s="340">
        <v>1</v>
      </c>
      <c r="T315" s="328">
        <f t="shared" si="311"/>
        <v>67.566666666662826</v>
      </c>
      <c r="V315" s="328">
        <f t="shared" si="312"/>
        <v>0</v>
      </c>
      <c r="W315" s="328">
        <f t="shared" si="313"/>
        <v>0</v>
      </c>
      <c r="X315" s="340">
        <v>1</v>
      </c>
      <c r="Y315" s="328">
        <f t="shared" si="314"/>
        <v>0</v>
      </c>
      <c r="Z315" s="328">
        <f t="shared" si="315"/>
        <v>67.566666666662826</v>
      </c>
      <c r="AA315" s="328">
        <f t="shared" si="316"/>
        <v>4020.2166666666685</v>
      </c>
      <c r="AB315" s="328">
        <f t="shared" si="322"/>
        <v>8040.433333333337</v>
      </c>
      <c r="AC315" s="339">
        <f t="shared" si="317"/>
        <v>122.66666666666667</v>
      </c>
      <c r="AD315" s="325">
        <f t="shared" si="318"/>
        <v>122.75</v>
      </c>
      <c r="AE315" s="339">
        <f t="shared" si="319"/>
        <v>132.66666666666666</v>
      </c>
      <c r="AF315" s="325">
        <f t="shared" si="320"/>
        <v>121.75</v>
      </c>
      <c r="AG315" s="338">
        <f t="shared" si="321"/>
        <v>-8.3333333333333329E-2</v>
      </c>
    </row>
    <row r="316" spans="1:38">
      <c r="I316" s="330"/>
      <c r="L316" s="328"/>
      <c r="N316" s="328"/>
      <c r="R316" s="328"/>
      <c r="T316" s="343"/>
      <c r="Y316" s="328"/>
      <c r="Z316" s="328"/>
      <c r="AA316" s="343"/>
      <c r="AB316" s="343"/>
    </row>
    <row r="317" spans="1:38" ht="16.5" thickBot="1">
      <c r="B317" s="333" t="s">
        <v>914</v>
      </c>
      <c r="I317" s="330"/>
      <c r="L317" s="336">
        <f>SUM(L289:L316)-L304-L305</f>
        <v>91979</v>
      </c>
      <c r="N317" s="328">
        <f>SUM(N289:N316)</f>
        <v>96083</v>
      </c>
      <c r="P317" s="683">
        <f t="shared" ref="P317:R317" si="346">SUM(P289:P316)</f>
        <v>3624.7666666666628</v>
      </c>
      <c r="Q317" s="683">
        <f t="shared" si="346"/>
        <v>0</v>
      </c>
      <c r="R317" s="682">
        <f t="shared" si="346"/>
        <v>3624.7666666666628</v>
      </c>
      <c r="T317" s="335">
        <f>SUM(T289:T316)</f>
        <v>3624.7666666666628</v>
      </c>
      <c r="V317" s="328">
        <f>SUM(V289:V316)</f>
        <v>66343.933333333334</v>
      </c>
      <c r="W317" s="328">
        <f>SUM(W289:W316)</f>
        <v>66343.933333333334</v>
      </c>
      <c r="Y317" s="328">
        <f>SUM(Y289:Y316)</f>
        <v>66343.933333333334</v>
      </c>
      <c r="Z317" s="328">
        <f>SUM(Z289:Z316)</f>
        <v>65864.700000000012</v>
      </c>
      <c r="AA317" s="335">
        <f>SUM(AA289:AA316)</f>
        <v>20407.183333333331</v>
      </c>
      <c r="AB317" s="335">
        <f>SUM(AB289:AB316)</f>
        <v>26114.300000000003</v>
      </c>
    </row>
    <row r="318" spans="1:38" ht="16.5" thickTop="1">
      <c r="I318" s="330" t="s">
        <v>886</v>
      </c>
      <c r="L318" s="334">
        <f>SUM(L289:L313)</f>
        <v>81044</v>
      </c>
      <c r="N318" s="328"/>
      <c r="R318" s="328"/>
      <c r="T318" s="343"/>
      <c r="Y318" s="328"/>
      <c r="Z318" s="328"/>
      <c r="AA318" s="343"/>
      <c r="AB318" s="343"/>
    </row>
    <row r="319" spans="1:38">
      <c r="I319" s="330"/>
      <c r="L319" s="328"/>
      <c r="N319" s="328"/>
      <c r="R319" s="328"/>
      <c r="T319" s="343"/>
      <c r="Y319" s="328"/>
      <c r="Z319" s="328"/>
      <c r="AA319" s="343"/>
      <c r="AB319" s="343"/>
    </row>
    <row r="320" spans="1:38">
      <c r="B320" s="333" t="s">
        <v>913</v>
      </c>
      <c r="C320" s="333">
        <v>90</v>
      </c>
      <c r="D320" s="333">
        <v>5</v>
      </c>
      <c r="E320" s="342">
        <v>0</v>
      </c>
      <c r="G320" s="333" t="s">
        <v>888</v>
      </c>
      <c r="H320" s="333">
        <v>10</v>
      </c>
      <c r="I320" s="341">
        <f>+C320+H320</f>
        <v>100</v>
      </c>
      <c r="L320" s="331">
        <v>2500</v>
      </c>
      <c r="N320" s="328">
        <f>L320-L320*E320</f>
        <v>2500</v>
      </c>
      <c r="O320" s="328">
        <f>N320/H320/12</f>
        <v>20.833333333333332</v>
      </c>
      <c r="P320" s="328">
        <f>IF(M320&gt;0,0,IF(OR(AC320&gt;AD320,AE320&lt;AF320),0,IF(AND(AE320&gt;=AF320,AE320&lt;=AD320),O320*((AE320-AF320)*12),IF(AND(AF320&lt;=AC320,AD320&gt;=AC320),((AD320-AC320)*12)*O320,IF(AE320&gt;AD320,12*O320,0)))))</f>
        <v>0</v>
      </c>
      <c r="Q320" s="325">
        <f>IF(M320=0,0,IF(AND(AG320&gt;=AF320,AG320&lt;=AE320),((AG320-AF320)*12)*O320,0))</f>
        <v>0</v>
      </c>
      <c r="R320" s="328">
        <f>IF(Q320&gt;0,Q320,P320)</f>
        <v>0</v>
      </c>
      <c r="S320" s="340">
        <v>0</v>
      </c>
      <c r="T320" s="328">
        <f>S320*SUM(P320:Q320)</f>
        <v>0</v>
      </c>
      <c r="V320" s="328">
        <f>IF(AC320&gt;AD320,0,IF(AE320&lt;AF320,N320,IF(AND(AE320&gt;=AF320,AE320&lt;=AD320),(N320-R320),IF(AND(AF320&lt;=AC320,AD320&gt;=AC320),0,IF(AE320&gt;AD320,((AF320-AC320)*12)*O320,0)))))</f>
        <v>2500</v>
      </c>
      <c r="W320" s="328">
        <f>V320*S320</f>
        <v>0</v>
      </c>
      <c r="X320" s="340">
        <v>1</v>
      </c>
      <c r="Y320" s="328">
        <f>W320*X320</f>
        <v>0</v>
      </c>
      <c r="Z320" s="328">
        <f>IF(M320&gt;0,0,Y320+T320*X320)*X320</f>
        <v>0</v>
      </c>
      <c r="AA320" s="328">
        <f>IF(M320&gt;0,(L320-Y320)/2,IF(AC320&gt;=AF320,(((L320*S320)*X320)-Z320)/2,((((L320*S320)*X320)-Y320)+(((L320*S320)*X320)-Z320))/2))</f>
        <v>0</v>
      </c>
      <c r="AB320" s="328">
        <v>0</v>
      </c>
      <c r="AC320" s="339">
        <f>$C320+(($D320-1)/12)</f>
        <v>90.333333333333329</v>
      </c>
      <c r="AD320" s="325">
        <f>($N$5+1)-($N$2/12)</f>
        <v>122.75</v>
      </c>
      <c r="AE320" s="339">
        <f>$I320+(($D320-1)/12)</f>
        <v>100.33333333333333</v>
      </c>
      <c r="AF320" s="325">
        <f>$N$4+($N$3/12)</f>
        <v>121.75</v>
      </c>
      <c r="AG320" s="338">
        <f>$J320+(($K320-1)/12)</f>
        <v>-8.3333333333333329E-2</v>
      </c>
    </row>
    <row r="321" spans="2:38">
      <c r="B321" s="333" t="s">
        <v>912</v>
      </c>
      <c r="C321" s="333">
        <v>90</v>
      </c>
      <c r="D321" s="333">
        <v>7</v>
      </c>
      <c r="E321" s="342">
        <v>0</v>
      </c>
      <c r="G321" s="333" t="s">
        <v>888</v>
      </c>
      <c r="H321" s="333">
        <v>10</v>
      </c>
      <c r="I321" s="341">
        <f>+C321+H321</f>
        <v>100</v>
      </c>
      <c r="L321" s="331">
        <v>600</v>
      </c>
      <c r="N321" s="328">
        <f>L321-L321*E321</f>
        <v>600</v>
      </c>
      <c r="O321" s="328">
        <f>N321/H321/12</f>
        <v>5</v>
      </c>
      <c r="P321" s="328">
        <f>IF(M321&gt;0,0,IF(OR(AC321&gt;AD321,AE321&lt;AF321),0,IF(AND(AE321&gt;=AF321,AE321&lt;=AD321),O321*((AE321-AF321)*12),IF(AND(AF321&lt;=AC321,AD321&gt;=AC321),((AD321-AC321)*12)*O321,IF(AE321&gt;AD321,12*O321,0)))))</f>
        <v>0</v>
      </c>
      <c r="Q321" s="325">
        <f>IF(M321=0,0,IF(AND(AG321&gt;=AF321,AG321&lt;=AE321),((AG321-AF321)*12)*O321,0))</f>
        <v>0</v>
      </c>
      <c r="R321" s="328">
        <f>IF(Q321&gt;0,Q321,P321)</f>
        <v>0</v>
      </c>
      <c r="S321" s="340">
        <v>0</v>
      </c>
      <c r="T321" s="328">
        <f>S321*SUM(P321:Q321)</f>
        <v>0</v>
      </c>
      <c r="V321" s="328">
        <f>IF(AC321&gt;AD321,0,IF(AE321&lt;AF321,N321,IF(AND(AE321&gt;=AF321,AE321&lt;=AD321),(N321-R321),IF(AND(AF321&lt;=AC321,AD321&gt;=AC321),0,IF(AE321&gt;AD321,((AF321-AC321)*12)*O321,0)))))</f>
        <v>600</v>
      </c>
      <c r="W321" s="328">
        <f>V321*S321</f>
        <v>0</v>
      </c>
      <c r="X321" s="340">
        <v>1</v>
      </c>
      <c r="Y321" s="328">
        <f>W321*X321</f>
        <v>0</v>
      </c>
      <c r="Z321" s="328">
        <f>IF(M321&gt;0,0,Y321+T321*X321)*X321</f>
        <v>0</v>
      </c>
      <c r="AA321" s="328">
        <f>IF(M321&gt;0,(L321-Y321)/2,IF(AC321&gt;=AF321,(((L321*S321)*X321)-Z321)/2,((((L321*S321)*X321)-Y321)+(((L321*S321)*X321)-Z321))/2))</f>
        <v>0</v>
      </c>
      <c r="AB321" s="328">
        <v>0</v>
      </c>
      <c r="AC321" s="339">
        <f>$C321+(($D321-1)/12)</f>
        <v>90.5</v>
      </c>
      <c r="AD321" s="325">
        <f>($N$5+1)-($N$2/12)</f>
        <v>122.75</v>
      </c>
      <c r="AE321" s="339">
        <f>$I321+(($D321-1)/12)</f>
        <v>100.5</v>
      </c>
      <c r="AF321" s="325">
        <f>$N$4+($N$3/12)</f>
        <v>121.75</v>
      </c>
      <c r="AG321" s="338">
        <f>$J321+(($K321-1)/12)</f>
        <v>-8.3333333333333329E-2</v>
      </c>
    </row>
    <row r="322" spans="2:38">
      <c r="B322" s="333" t="s">
        <v>911</v>
      </c>
      <c r="C322" s="333">
        <v>100</v>
      </c>
      <c r="D322" s="333">
        <v>4</v>
      </c>
      <c r="E322" s="342">
        <v>0</v>
      </c>
      <c r="G322" s="333" t="s">
        <v>888</v>
      </c>
      <c r="H322" s="333">
        <v>10</v>
      </c>
      <c r="I322" s="341">
        <f>+C322+H322</f>
        <v>110</v>
      </c>
      <c r="L322" s="331">
        <v>1076</v>
      </c>
      <c r="N322" s="328">
        <f>L322-L322*E322</f>
        <v>1076</v>
      </c>
      <c r="O322" s="328">
        <f>N322/H322/12</f>
        <v>8.9666666666666668</v>
      </c>
      <c r="P322" s="328">
        <f>IF(M322&gt;0,0,IF(OR(AC322&gt;AD322,AE322&lt;AF322),0,IF(AND(AE322&gt;=AF322,AE322&lt;=AD322),O322*((AE322-AF322)*12),IF(AND(AF322&lt;=AC322,AD322&gt;=AC322),((AD322-AC322)*12)*O322,IF(AE322&gt;AD322,12*O322,0)))))</f>
        <v>0</v>
      </c>
      <c r="Q322" s="325">
        <f>IF(M322=0,0,IF(AND(AG322&gt;=AF322,AG322&lt;=AE322),((AG322-AF322)*12)*O322,0))</f>
        <v>0</v>
      </c>
      <c r="R322" s="328">
        <f>IF(Q322&gt;0,Q322,P322)</f>
        <v>0</v>
      </c>
      <c r="S322" s="340">
        <v>0</v>
      </c>
      <c r="T322" s="328">
        <f>S322*SUM(P322:Q322)</f>
        <v>0</v>
      </c>
      <c r="V322" s="328">
        <f>IF(AC322&gt;AD322,0,IF(AE322&lt;AF322,N322,IF(AND(AE322&gt;=AF322,AE322&lt;=AD322),(N322-R322),IF(AND(AF322&lt;=AC322,AD322&gt;=AC322),0,IF(AE322&gt;AD322,((AF322-AC322)*12)*O322,0)))))</f>
        <v>1076</v>
      </c>
      <c r="W322" s="328">
        <f>V322*S322</f>
        <v>0</v>
      </c>
      <c r="X322" s="340">
        <v>1</v>
      </c>
      <c r="Y322" s="328">
        <f>W322*X322</f>
        <v>0</v>
      </c>
      <c r="Z322" s="328">
        <f>IF(M322&gt;0,0,Y322+T322*X322)*X322</f>
        <v>0</v>
      </c>
      <c r="AA322" s="328">
        <f>IF(M322&gt;0,(L322-Y322)/2,IF(AC322&gt;=AF322,(((L322*S322)*X322)-Z322)/2,((((L322*S322)*X322)-Y322)+(((L322*S322)*X322)-Z322))/2))</f>
        <v>0</v>
      </c>
      <c r="AB322" s="328">
        <v>0</v>
      </c>
      <c r="AC322" s="339">
        <f>$C322+(($D322-1)/12)</f>
        <v>100.25</v>
      </c>
      <c r="AD322" s="325">
        <f>($N$5+1)-($N$2/12)</f>
        <v>122.75</v>
      </c>
      <c r="AE322" s="339">
        <f>$I322+(($D322-1)/12)</f>
        <v>110.25</v>
      </c>
      <c r="AF322" s="325">
        <f>$N$4+($N$3/12)</f>
        <v>121.75</v>
      </c>
      <c r="AG322" s="338">
        <f>$J322+(($K322-1)/12)</f>
        <v>-8.3333333333333329E-2</v>
      </c>
    </row>
    <row r="323" spans="2:38">
      <c r="B323" s="333" t="s">
        <v>910</v>
      </c>
      <c r="C323" s="333">
        <v>116</v>
      </c>
      <c r="D323" s="333">
        <v>10</v>
      </c>
      <c r="E323" s="342">
        <v>0.2</v>
      </c>
      <c r="G323" s="333" t="s">
        <v>888</v>
      </c>
      <c r="H323" s="333">
        <v>10</v>
      </c>
      <c r="I323" s="341">
        <f>+C323+H323</f>
        <v>126</v>
      </c>
      <c r="L323" s="331">
        <v>44977</v>
      </c>
      <c r="N323" s="328">
        <f>L323-L323*E323</f>
        <v>35981.599999999999</v>
      </c>
      <c r="O323" s="328">
        <f>N323/H323/12</f>
        <v>299.84666666666664</v>
      </c>
      <c r="P323" s="328">
        <f>IF(M323&gt;0,0,IF(OR(AC323&gt;AD323,AE323&lt;AF323),0,IF(AND(AE323&gt;=AF323,AE323&lt;=AD323),O323*((AE323-AF323)*12),IF(AND(AF323&lt;=AC323,AD323&gt;=AC323),((AD323-AC323)*12)*O323,IF(AE323&gt;AD323,12*O323,0)))))</f>
        <v>3598.16</v>
      </c>
      <c r="Q323" s="325">
        <f>IF(M323=0,0,IF(AND(AG323&gt;=AF323,AG323&lt;=AE323),((AG323-AF323)*12)*O323,0))</f>
        <v>0</v>
      </c>
      <c r="R323" s="328">
        <f>IF(Q323&gt;0,Q323,P323)</f>
        <v>3598.16</v>
      </c>
      <c r="S323" s="340">
        <v>0</v>
      </c>
      <c r="T323" s="328">
        <f>S323*SUM(P323:Q323)</f>
        <v>0</v>
      </c>
      <c r="V323" s="328">
        <f>IF(AC323&gt;AD323,0,IF(AE323&lt;AF323,N323,IF(AND(AE323&gt;=AF323,AE323&lt;=AD323),(N323-R323),IF(AND(AF323&lt;=AC323,AD323&gt;=AC323),0,IF(AE323&gt;AD323,((AF323-AC323)*12)*O323,0)))))</f>
        <v>17990.8</v>
      </c>
      <c r="W323" s="328">
        <f>V323*S323</f>
        <v>0</v>
      </c>
      <c r="X323" s="340">
        <v>1</v>
      </c>
      <c r="Y323" s="328">
        <f>W323*X323</f>
        <v>0</v>
      </c>
      <c r="Z323" s="328">
        <f>IF(M323&gt;0,0,Y323+T323*X323)*X323</f>
        <v>0</v>
      </c>
      <c r="AA323" s="328">
        <f>IF(M323&gt;0,(L323-Y323)/2,IF(AC323&gt;=AF323,(((L323*S323)*X323)-Z323)/2,((((L323*S323)*X323)-Y323)+(((L323*S323)*X323)-Z323))/2))</f>
        <v>0</v>
      </c>
      <c r="AB323" s="328">
        <v>0</v>
      </c>
      <c r="AC323" s="339">
        <f>$C323+(($D323-1)/12)</f>
        <v>116.75</v>
      </c>
      <c r="AD323" s="325">
        <f>($N$5+1)-($N$2/12)</f>
        <v>122.75</v>
      </c>
      <c r="AE323" s="339">
        <f>$I323+(($D323-1)/12)</f>
        <v>126.75</v>
      </c>
      <c r="AF323" s="325">
        <f>$N$4+($N$3/12)</f>
        <v>121.75</v>
      </c>
      <c r="AG323" s="338">
        <f>$J323+(($K323-1)/12)</f>
        <v>-8.3333333333333329E-2</v>
      </c>
    </row>
    <row r="324" spans="2:38">
      <c r="I324" s="330"/>
      <c r="L324" s="328"/>
      <c r="N324" s="328"/>
      <c r="P324" s="353"/>
      <c r="Q324" s="353"/>
      <c r="R324" s="352"/>
      <c r="T324" s="329"/>
      <c r="Y324" s="328"/>
      <c r="Z324" s="328"/>
      <c r="AA324" s="329"/>
      <c r="AB324" s="355">
        <v>0</v>
      </c>
    </row>
    <row r="325" spans="2:38" ht="16.5" thickBot="1">
      <c r="B325" s="333" t="s">
        <v>909</v>
      </c>
      <c r="I325" s="330"/>
      <c r="L325" s="328">
        <f>SUM(L320:L323)</f>
        <v>49153</v>
      </c>
      <c r="N325" s="328">
        <f>SUM(N320:N324)</f>
        <v>40157.599999999999</v>
      </c>
      <c r="P325" s="679">
        <f>SUM(P320:P324)</f>
        <v>3598.16</v>
      </c>
      <c r="Q325" s="679">
        <f>SUM(Q320:Q324)</f>
        <v>0</v>
      </c>
      <c r="R325" s="343">
        <f>SUM(R320:R324)</f>
        <v>3598.16</v>
      </c>
      <c r="T325" s="335">
        <f>SUM(T320:T324)</f>
        <v>0</v>
      </c>
      <c r="V325" s="328">
        <f>SUM(V320:V324)</f>
        <v>22166.799999999999</v>
      </c>
      <c r="W325" s="328">
        <f>SUM(W320:W324)</f>
        <v>0</v>
      </c>
      <c r="Y325" s="328">
        <f>SUM(Y320:Y324)</f>
        <v>0</v>
      </c>
      <c r="Z325" s="328">
        <f>SUM(Z320:Z324)</f>
        <v>0</v>
      </c>
      <c r="AA325" s="335">
        <f>SUM(AA320:AA324)</f>
        <v>0</v>
      </c>
      <c r="AB325" s="343"/>
    </row>
    <row r="326" spans="2:38" ht="16.5" thickTop="1">
      <c r="I326" s="330" t="s">
        <v>886</v>
      </c>
      <c r="L326" s="334">
        <f>SUM(L320:L324)</f>
        <v>49153</v>
      </c>
      <c r="N326" s="328"/>
      <c r="R326" s="328"/>
      <c r="T326" s="329"/>
      <c r="Y326" s="328"/>
      <c r="Z326" s="328"/>
      <c r="AA326" s="329"/>
      <c r="AB326" s="329"/>
    </row>
    <row r="327" spans="2:38">
      <c r="B327" s="333" t="s">
        <v>908</v>
      </c>
      <c r="I327" s="330"/>
      <c r="L327" s="328"/>
      <c r="N327" s="328"/>
      <c r="R327" s="328"/>
      <c r="T327" s="329"/>
      <c r="Y327" s="328"/>
      <c r="Z327" s="328"/>
      <c r="AA327" s="329"/>
      <c r="AB327" s="329"/>
    </row>
    <row r="328" spans="2:38">
      <c r="B328" s="333" t="s">
        <v>907</v>
      </c>
      <c r="C328" s="333">
        <v>87</v>
      </c>
      <c r="D328" s="333">
        <v>11</v>
      </c>
      <c r="E328" s="342">
        <v>0</v>
      </c>
      <c r="G328" s="333" t="s">
        <v>888</v>
      </c>
      <c r="H328" s="333">
        <v>10</v>
      </c>
      <c r="I328" s="341">
        <f t="shared" ref="I328:I349" si="347">+C328+H328</f>
        <v>97</v>
      </c>
      <c r="L328" s="331">
        <v>600</v>
      </c>
      <c r="N328" s="328">
        <f t="shared" ref="N328:N349" si="348">L328-L328*E328</f>
        <v>600</v>
      </c>
      <c r="O328" s="328">
        <f t="shared" ref="O328:O349" si="349">N328/H328/12</f>
        <v>5</v>
      </c>
      <c r="P328" s="328">
        <f t="shared" ref="P328:P349" si="350">IF(M328&gt;0,0,IF(OR(AC328&gt;AD328,AE328&lt;AF328),0,IF(AND(AE328&gt;=AF328,AE328&lt;=AD328),O328*((AE328-AF328)*12),IF(AND(AF328&lt;=AC328,AD328&gt;=AC328),((AD328-AC328)*12)*O328,IF(AE328&gt;AD328,12*O328,0)))))</f>
        <v>0</v>
      </c>
      <c r="Q328" s="325">
        <f t="shared" ref="Q328:Q349" si="351">IF(M328=0,0,IF(AND(AG328&gt;=AF328,AG328&lt;=AE328),((AG328-AF328)*12)*O328,0))</f>
        <v>0</v>
      </c>
      <c r="R328" s="328">
        <f t="shared" ref="R328:R349" si="352">IF(Q328&gt;0,Q328,P328)</f>
        <v>0</v>
      </c>
      <c r="S328" s="340">
        <v>1</v>
      </c>
      <c r="T328" s="328">
        <f t="shared" ref="T328:T349" si="353">S328*SUM(P328:Q328)</f>
        <v>0</v>
      </c>
      <c r="V328" s="328">
        <f t="shared" ref="V328:V349" si="354">IF(AC328&gt;AD328,0,IF(AE328&lt;AF328,N328,IF(AND(AE328&gt;=AF328,AE328&lt;=AD328),(N328-R328),IF(AND(AF328&lt;=AC328,AD328&gt;=AC328),0,IF(AE328&gt;AD328,((AF328-AC328)*12)*O328,0)))))</f>
        <v>600</v>
      </c>
      <c r="W328" s="328">
        <f t="shared" ref="W328:W349" si="355">V328*S328</f>
        <v>600</v>
      </c>
      <c r="X328" s="340">
        <v>1</v>
      </c>
      <c r="Y328" s="328">
        <f t="shared" ref="Y328:Y349" si="356">W328*X328</f>
        <v>600</v>
      </c>
      <c r="Z328" s="328">
        <f t="shared" ref="Z328:Z349" si="357">IF(M328&gt;0,0,Y328+T328*X328)*X328</f>
        <v>600</v>
      </c>
      <c r="AA328" s="328">
        <f t="shared" ref="AA328:AA349" si="358">IF(M328&gt;0,(L328-Y328)/2,IF(AC328&gt;=AF328,(((L328*S328)*X328)-Z328)/2,((((L328*S328)*X328)-Y328)+(((L328*S328)*X328)-Z328))/2))</f>
        <v>0</v>
      </c>
      <c r="AB328" s="328">
        <f>L328-Z328</f>
        <v>0</v>
      </c>
      <c r="AC328" s="339">
        <f t="shared" ref="AC328:AC349" si="359">$C328+(($D328-1)/12)</f>
        <v>87.833333333333329</v>
      </c>
      <c r="AD328" s="325">
        <f t="shared" ref="AD328:AD349" si="360">($N$5+1)-($N$2/12)</f>
        <v>122.75</v>
      </c>
      <c r="AE328" s="339">
        <f t="shared" ref="AE328:AE349" si="361">$I328+(($D328-1)/12)</f>
        <v>97.833333333333329</v>
      </c>
      <c r="AF328" s="325">
        <f t="shared" ref="AF328:AF349" si="362">$N$4+($N$3/12)</f>
        <v>121.75</v>
      </c>
      <c r="AG328" s="338">
        <f t="shared" ref="AG328:AG349" si="363">$J328+(($K328-1)/12)</f>
        <v>-8.3333333333333329E-2</v>
      </c>
    </row>
    <row r="329" spans="2:38">
      <c r="B329" s="700" t="s">
        <v>906</v>
      </c>
      <c r="C329" s="333">
        <v>91</v>
      </c>
      <c r="D329" s="333">
        <v>10</v>
      </c>
      <c r="E329" s="342">
        <v>0</v>
      </c>
      <c r="G329" s="333" t="s">
        <v>888</v>
      </c>
      <c r="H329" s="333">
        <v>10</v>
      </c>
      <c r="I329" s="341">
        <f t="shared" si="347"/>
        <v>101</v>
      </c>
      <c r="J329" s="325">
        <v>121</v>
      </c>
      <c r="K329" s="325">
        <v>12</v>
      </c>
      <c r="L329" s="331">
        <v>302</v>
      </c>
      <c r="M329" s="325">
        <v>12</v>
      </c>
      <c r="N329" s="328">
        <f t="shared" si="348"/>
        <v>302</v>
      </c>
      <c r="O329" s="328">
        <f t="shared" si="349"/>
        <v>2.5166666666666666</v>
      </c>
      <c r="P329" s="328">
        <f t="shared" si="350"/>
        <v>0</v>
      </c>
      <c r="Q329" s="325">
        <f t="shared" si="351"/>
        <v>0</v>
      </c>
      <c r="R329" s="328">
        <f t="shared" si="352"/>
        <v>0</v>
      </c>
      <c r="S329" s="340">
        <v>1</v>
      </c>
      <c r="T329" s="328">
        <f t="shared" si="353"/>
        <v>0</v>
      </c>
      <c r="V329" s="328">
        <f t="shared" si="354"/>
        <v>302</v>
      </c>
      <c r="W329" s="328">
        <f t="shared" si="355"/>
        <v>302</v>
      </c>
      <c r="X329" s="340">
        <v>1</v>
      </c>
      <c r="Y329" s="328">
        <f t="shared" si="356"/>
        <v>302</v>
      </c>
      <c r="Z329" s="328">
        <f t="shared" si="357"/>
        <v>0</v>
      </c>
      <c r="AA329" s="328">
        <f t="shared" si="358"/>
        <v>0</v>
      </c>
      <c r="AB329" s="701">
        <v>0</v>
      </c>
      <c r="AC329" s="339">
        <f t="shared" si="359"/>
        <v>91.75</v>
      </c>
      <c r="AD329" s="325">
        <f t="shared" si="360"/>
        <v>122.75</v>
      </c>
      <c r="AE329" s="339">
        <f t="shared" si="361"/>
        <v>101.75</v>
      </c>
      <c r="AF329" s="325">
        <f t="shared" si="362"/>
        <v>121.75</v>
      </c>
      <c r="AG329" s="338">
        <f t="shared" si="363"/>
        <v>121.91666666666667</v>
      </c>
      <c r="AH329" s="360">
        <v>44561</v>
      </c>
      <c r="AI329" s="659">
        <v>0</v>
      </c>
      <c r="AJ329" s="659">
        <f t="shared" ref="AJ329:AJ332" si="364">L329</f>
        <v>302</v>
      </c>
      <c r="AK329" s="659">
        <f t="shared" ref="AK329:AK332" si="365">V329+R329</f>
        <v>302</v>
      </c>
      <c r="AL329" s="443">
        <f t="shared" ref="AL329:AL332" si="366">AI329-(AJ329-AK329)</f>
        <v>0</v>
      </c>
    </row>
    <row r="330" spans="2:38">
      <c r="B330" s="700" t="s">
        <v>905</v>
      </c>
      <c r="C330" s="333">
        <v>99</v>
      </c>
      <c r="D330" s="333">
        <v>1</v>
      </c>
      <c r="E330" s="342">
        <v>0</v>
      </c>
      <c r="G330" s="333" t="s">
        <v>888</v>
      </c>
      <c r="H330" s="333">
        <v>10</v>
      </c>
      <c r="I330" s="341">
        <f t="shared" si="347"/>
        <v>109</v>
      </c>
      <c r="J330" s="325">
        <v>121</v>
      </c>
      <c r="K330" s="325">
        <v>12</v>
      </c>
      <c r="L330" s="331">
        <v>1273</v>
      </c>
      <c r="M330" s="325">
        <v>12</v>
      </c>
      <c r="N330" s="328">
        <f t="shared" si="348"/>
        <v>1273</v>
      </c>
      <c r="O330" s="328">
        <f t="shared" si="349"/>
        <v>10.608333333333333</v>
      </c>
      <c r="P330" s="328">
        <f t="shared" si="350"/>
        <v>0</v>
      </c>
      <c r="Q330" s="325">
        <f t="shared" si="351"/>
        <v>0</v>
      </c>
      <c r="R330" s="328">
        <f t="shared" si="352"/>
        <v>0</v>
      </c>
      <c r="S330" s="340">
        <v>1</v>
      </c>
      <c r="T330" s="328">
        <f t="shared" si="353"/>
        <v>0</v>
      </c>
      <c r="V330" s="328">
        <f t="shared" si="354"/>
        <v>1273</v>
      </c>
      <c r="W330" s="328">
        <f t="shared" si="355"/>
        <v>1273</v>
      </c>
      <c r="X330" s="340">
        <v>1</v>
      </c>
      <c r="Y330" s="328">
        <f t="shared" si="356"/>
        <v>1273</v>
      </c>
      <c r="Z330" s="328">
        <f t="shared" si="357"/>
        <v>0</v>
      </c>
      <c r="AA330" s="328">
        <f t="shared" si="358"/>
        <v>0</v>
      </c>
      <c r="AB330" s="701">
        <v>0</v>
      </c>
      <c r="AC330" s="339">
        <f t="shared" si="359"/>
        <v>99</v>
      </c>
      <c r="AD330" s="325">
        <f t="shared" si="360"/>
        <v>122.75</v>
      </c>
      <c r="AE330" s="339">
        <f t="shared" si="361"/>
        <v>109</v>
      </c>
      <c r="AF330" s="325">
        <f t="shared" si="362"/>
        <v>121.75</v>
      </c>
      <c r="AG330" s="338">
        <f t="shared" si="363"/>
        <v>121.91666666666667</v>
      </c>
      <c r="AH330" s="360">
        <v>44561</v>
      </c>
      <c r="AI330" s="659">
        <v>0</v>
      </c>
      <c r="AJ330" s="659">
        <f t="shared" si="364"/>
        <v>1273</v>
      </c>
      <c r="AK330" s="659">
        <f t="shared" si="365"/>
        <v>1273</v>
      </c>
      <c r="AL330" s="443">
        <f t="shared" si="366"/>
        <v>0</v>
      </c>
    </row>
    <row r="331" spans="2:38">
      <c r="B331" s="700" t="s">
        <v>904</v>
      </c>
      <c r="C331" s="333">
        <v>101</v>
      </c>
      <c r="D331" s="333">
        <v>7</v>
      </c>
      <c r="E331" s="342">
        <v>0</v>
      </c>
      <c r="G331" s="333" t="s">
        <v>888</v>
      </c>
      <c r="H331" s="333">
        <v>10</v>
      </c>
      <c r="I331" s="341">
        <f t="shared" si="347"/>
        <v>111</v>
      </c>
      <c r="J331" s="325">
        <v>121</v>
      </c>
      <c r="K331" s="325">
        <v>12</v>
      </c>
      <c r="L331" s="331">
        <v>2190</v>
      </c>
      <c r="M331" s="325">
        <v>12</v>
      </c>
      <c r="N331" s="328">
        <f t="shared" si="348"/>
        <v>2190</v>
      </c>
      <c r="O331" s="328">
        <f t="shared" si="349"/>
        <v>18.25</v>
      </c>
      <c r="P331" s="328">
        <f t="shared" si="350"/>
        <v>0</v>
      </c>
      <c r="Q331" s="325">
        <f t="shared" si="351"/>
        <v>0</v>
      </c>
      <c r="R331" s="328">
        <f t="shared" si="352"/>
        <v>0</v>
      </c>
      <c r="S331" s="340">
        <v>1</v>
      </c>
      <c r="T331" s="328">
        <f t="shared" si="353"/>
        <v>0</v>
      </c>
      <c r="V331" s="328">
        <f t="shared" si="354"/>
        <v>2190</v>
      </c>
      <c r="W331" s="328">
        <f t="shared" si="355"/>
        <v>2190</v>
      </c>
      <c r="X331" s="340">
        <v>1</v>
      </c>
      <c r="Y331" s="328">
        <f t="shared" si="356"/>
        <v>2190</v>
      </c>
      <c r="Z331" s="328">
        <f t="shared" si="357"/>
        <v>0</v>
      </c>
      <c r="AA331" s="328">
        <f t="shared" si="358"/>
        <v>0</v>
      </c>
      <c r="AB331" s="701">
        <v>0</v>
      </c>
      <c r="AC331" s="339">
        <f t="shared" si="359"/>
        <v>101.5</v>
      </c>
      <c r="AD331" s="325">
        <f t="shared" si="360"/>
        <v>122.75</v>
      </c>
      <c r="AE331" s="339">
        <f t="shared" si="361"/>
        <v>111.5</v>
      </c>
      <c r="AF331" s="325">
        <f t="shared" si="362"/>
        <v>121.75</v>
      </c>
      <c r="AG331" s="338">
        <f t="shared" si="363"/>
        <v>121.91666666666667</v>
      </c>
      <c r="AH331" s="360">
        <v>44561</v>
      </c>
      <c r="AI331" s="659">
        <v>0</v>
      </c>
      <c r="AJ331" s="659">
        <f t="shared" si="364"/>
        <v>2190</v>
      </c>
      <c r="AK331" s="659">
        <f t="shared" si="365"/>
        <v>2190</v>
      </c>
      <c r="AL331" s="443">
        <f t="shared" si="366"/>
        <v>0</v>
      </c>
    </row>
    <row r="332" spans="2:38">
      <c r="B332" s="700" t="s">
        <v>903</v>
      </c>
      <c r="C332" s="333">
        <v>102</v>
      </c>
      <c r="D332" s="333">
        <v>12</v>
      </c>
      <c r="E332" s="342">
        <v>0</v>
      </c>
      <c r="G332" s="333" t="s">
        <v>888</v>
      </c>
      <c r="H332" s="333">
        <v>10</v>
      </c>
      <c r="I332" s="341">
        <f t="shared" si="347"/>
        <v>112</v>
      </c>
      <c r="J332" s="325">
        <v>121</v>
      </c>
      <c r="K332" s="325">
        <v>12</v>
      </c>
      <c r="L332" s="331">
        <v>1230</v>
      </c>
      <c r="M332" s="325">
        <v>12</v>
      </c>
      <c r="N332" s="328">
        <f t="shared" si="348"/>
        <v>1230</v>
      </c>
      <c r="O332" s="328">
        <f t="shared" si="349"/>
        <v>10.25</v>
      </c>
      <c r="P332" s="328">
        <f t="shared" si="350"/>
        <v>0</v>
      </c>
      <c r="Q332" s="325">
        <f t="shared" si="351"/>
        <v>0</v>
      </c>
      <c r="R332" s="328">
        <f t="shared" si="352"/>
        <v>0</v>
      </c>
      <c r="S332" s="340">
        <v>1</v>
      </c>
      <c r="T332" s="328">
        <f t="shared" si="353"/>
        <v>0</v>
      </c>
      <c r="V332" s="328">
        <f t="shared" si="354"/>
        <v>1230</v>
      </c>
      <c r="W332" s="328">
        <f t="shared" si="355"/>
        <v>1230</v>
      </c>
      <c r="X332" s="340">
        <v>1</v>
      </c>
      <c r="Y332" s="328">
        <f t="shared" si="356"/>
        <v>1230</v>
      </c>
      <c r="Z332" s="328">
        <f t="shared" si="357"/>
        <v>0</v>
      </c>
      <c r="AA332" s="328">
        <f t="shared" si="358"/>
        <v>0</v>
      </c>
      <c r="AB332" s="701">
        <v>0</v>
      </c>
      <c r="AC332" s="339">
        <f t="shared" si="359"/>
        <v>102.91666666666667</v>
      </c>
      <c r="AD332" s="325">
        <f t="shared" si="360"/>
        <v>122.75</v>
      </c>
      <c r="AE332" s="339">
        <f t="shared" si="361"/>
        <v>112.91666666666667</v>
      </c>
      <c r="AF332" s="325">
        <f t="shared" si="362"/>
        <v>121.75</v>
      </c>
      <c r="AG332" s="338">
        <f t="shared" si="363"/>
        <v>121.91666666666667</v>
      </c>
      <c r="AH332" s="360">
        <v>44561</v>
      </c>
      <c r="AI332" s="659">
        <v>0</v>
      </c>
      <c r="AJ332" s="659">
        <f t="shared" si="364"/>
        <v>1230</v>
      </c>
      <c r="AK332" s="659">
        <f t="shared" si="365"/>
        <v>1230</v>
      </c>
      <c r="AL332" s="443">
        <f t="shared" si="366"/>
        <v>0</v>
      </c>
    </row>
    <row r="333" spans="2:38">
      <c r="B333" s="333" t="s">
        <v>902</v>
      </c>
      <c r="C333" s="333">
        <v>104</v>
      </c>
      <c r="D333" s="333">
        <v>12</v>
      </c>
      <c r="E333" s="342">
        <v>0</v>
      </c>
      <c r="G333" s="333" t="s">
        <v>888</v>
      </c>
      <c r="H333" s="333">
        <v>10</v>
      </c>
      <c r="I333" s="341">
        <f t="shared" si="347"/>
        <v>114</v>
      </c>
      <c r="L333" s="331">
        <v>3009</v>
      </c>
      <c r="N333" s="328">
        <f t="shared" si="348"/>
        <v>3009</v>
      </c>
      <c r="O333" s="328">
        <f t="shared" si="349"/>
        <v>25.074999999999999</v>
      </c>
      <c r="P333" s="328">
        <f t="shared" si="350"/>
        <v>0</v>
      </c>
      <c r="Q333" s="325">
        <f t="shared" si="351"/>
        <v>0</v>
      </c>
      <c r="R333" s="328">
        <f t="shared" si="352"/>
        <v>0</v>
      </c>
      <c r="S333" s="340">
        <v>1</v>
      </c>
      <c r="T333" s="328">
        <f t="shared" si="353"/>
        <v>0</v>
      </c>
      <c r="V333" s="328">
        <f t="shared" si="354"/>
        <v>3009</v>
      </c>
      <c r="W333" s="328">
        <f t="shared" si="355"/>
        <v>3009</v>
      </c>
      <c r="X333" s="340">
        <v>1</v>
      </c>
      <c r="Y333" s="328">
        <f t="shared" si="356"/>
        <v>3009</v>
      </c>
      <c r="Z333" s="328">
        <f t="shared" si="357"/>
        <v>3009</v>
      </c>
      <c r="AA333" s="328">
        <f t="shared" si="358"/>
        <v>0</v>
      </c>
      <c r="AB333" s="328">
        <f t="shared" ref="AB333:AB349" si="367">L333-Z333</f>
        <v>0</v>
      </c>
      <c r="AC333" s="339">
        <f t="shared" si="359"/>
        <v>104.91666666666667</v>
      </c>
      <c r="AD333" s="325">
        <f t="shared" si="360"/>
        <v>122.75</v>
      </c>
      <c r="AE333" s="339">
        <f t="shared" si="361"/>
        <v>114.91666666666667</v>
      </c>
      <c r="AF333" s="325">
        <f t="shared" si="362"/>
        <v>121.75</v>
      </c>
      <c r="AG333" s="338">
        <f t="shared" si="363"/>
        <v>-8.3333333333333329E-2</v>
      </c>
    </row>
    <row r="334" spans="2:38">
      <c r="B334" s="333" t="s">
        <v>901</v>
      </c>
      <c r="C334" s="333">
        <v>104</v>
      </c>
      <c r="D334" s="333">
        <v>12</v>
      </c>
      <c r="E334" s="342">
        <v>0</v>
      </c>
      <c r="G334" s="333" t="s">
        <v>888</v>
      </c>
      <c r="H334" s="333">
        <v>10</v>
      </c>
      <c r="I334" s="341">
        <f t="shared" si="347"/>
        <v>114</v>
      </c>
      <c r="L334" s="331">
        <v>3586</v>
      </c>
      <c r="N334" s="328">
        <f t="shared" si="348"/>
        <v>3586</v>
      </c>
      <c r="O334" s="328">
        <f t="shared" si="349"/>
        <v>29.883333333333336</v>
      </c>
      <c r="P334" s="328">
        <f t="shared" si="350"/>
        <v>0</v>
      </c>
      <c r="Q334" s="325">
        <f t="shared" si="351"/>
        <v>0</v>
      </c>
      <c r="R334" s="328">
        <f t="shared" si="352"/>
        <v>0</v>
      </c>
      <c r="S334" s="340">
        <v>1</v>
      </c>
      <c r="T334" s="328">
        <f t="shared" si="353"/>
        <v>0</v>
      </c>
      <c r="V334" s="328">
        <f t="shared" si="354"/>
        <v>3586</v>
      </c>
      <c r="W334" s="328">
        <f t="shared" si="355"/>
        <v>3586</v>
      </c>
      <c r="X334" s="340">
        <v>1</v>
      </c>
      <c r="Y334" s="328">
        <f t="shared" si="356"/>
        <v>3586</v>
      </c>
      <c r="Z334" s="328">
        <f t="shared" si="357"/>
        <v>3586</v>
      </c>
      <c r="AA334" s="328">
        <f t="shared" si="358"/>
        <v>0</v>
      </c>
      <c r="AB334" s="328">
        <f t="shared" si="367"/>
        <v>0</v>
      </c>
      <c r="AC334" s="339">
        <f t="shared" si="359"/>
        <v>104.91666666666667</v>
      </c>
      <c r="AD334" s="325">
        <f t="shared" si="360"/>
        <v>122.75</v>
      </c>
      <c r="AE334" s="339">
        <f t="shared" si="361"/>
        <v>114.91666666666667</v>
      </c>
      <c r="AF334" s="325">
        <f t="shared" si="362"/>
        <v>121.75</v>
      </c>
      <c r="AG334" s="338">
        <f t="shared" si="363"/>
        <v>-8.3333333333333329E-2</v>
      </c>
    </row>
    <row r="335" spans="2:38">
      <c r="B335" s="333" t="s">
        <v>900</v>
      </c>
      <c r="C335" s="333">
        <v>105</v>
      </c>
      <c r="D335" s="333">
        <v>1</v>
      </c>
      <c r="E335" s="342">
        <v>0</v>
      </c>
      <c r="G335" s="333" t="s">
        <v>888</v>
      </c>
      <c r="H335" s="333">
        <v>10</v>
      </c>
      <c r="I335" s="341">
        <f t="shared" si="347"/>
        <v>115</v>
      </c>
      <c r="L335" s="331">
        <v>1077</v>
      </c>
      <c r="N335" s="328">
        <f t="shared" si="348"/>
        <v>1077</v>
      </c>
      <c r="O335" s="328">
        <f t="shared" si="349"/>
        <v>8.9749999999999996</v>
      </c>
      <c r="P335" s="328">
        <f t="shared" si="350"/>
        <v>0</v>
      </c>
      <c r="Q335" s="325">
        <f t="shared" si="351"/>
        <v>0</v>
      </c>
      <c r="R335" s="328">
        <f t="shared" si="352"/>
        <v>0</v>
      </c>
      <c r="S335" s="340">
        <v>1</v>
      </c>
      <c r="T335" s="328">
        <f t="shared" si="353"/>
        <v>0</v>
      </c>
      <c r="V335" s="328">
        <f t="shared" si="354"/>
        <v>1077</v>
      </c>
      <c r="W335" s="328">
        <f t="shared" si="355"/>
        <v>1077</v>
      </c>
      <c r="X335" s="340">
        <v>1</v>
      </c>
      <c r="Y335" s="328">
        <f t="shared" si="356"/>
        <v>1077</v>
      </c>
      <c r="Z335" s="328">
        <f t="shared" si="357"/>
        <v>1077</v>
      </c>
      <c r="AA335" s="328">
        <f t="shared" si="358"/>
        <v>0</v>
      </c>
      <c r="AB335" s="328">
        <f t="shared" si="367"/>
        <v>0</v>
      </c>
      <c r="AC335" s="339">
        <f t="shared" si="359"/>
        <v>105</v>
      </c>
      <c r="AD335" s="325">
        <f t="shared" si="360"/>
        <v>122.75</v>
      </c>
      <c r="AE335" s="339">
        <f t="shared" si="361"/>
        <v>115</v>
      </c>
      <c r="AF335" s="325">
        <f t="shared" si="362"/>
        <v>121.75</v>
      </c>
      <c r="AG335" s="338">
        <f t="shared" si="363"/>
        <v>-8.3333333333333329E-2</v>
      </c>
    </row>
    <row r="336" spans="2:38">
      <c r="B336" s="333" t="s">
        <v>899</v>
      </c>
      <c r="C336" s="333">
        <v>105</v>
      </c>
      <c r="D336" s="333">
        <v>3</v>
      </c>
      <c r="E336" s="342">
        <v>0</v>
      </c>
      <c r="G336" s="333" t="s">
        <v>888</v>
      </c>
      <c r="H336" s="333">
        <v>10</v>
      </c>
      <c r="I336" s="341">
        <f t="shared" si="347"/>
        <v>115</v>
      </c>
      <c r="L336" s="331">
        <v>660</v>
      </c>
      <c r="N336" s="328">
        <f t="shared" si="348"/>
        <v>660</v>
      </c>
      <c r="O336" s="328">
        <f t="shared" si="349"/>
        <v>5.5</v>
      </c>
      <c r="P336" s="328">
        <f t="shared" si="350"/>
        <v>0</v>
      </c>
      <c r="Q336" s="325">
        <f t="shared" si="351"/>
        <v>0</v>
      </c>
      <c r="R336" s="328">
        <f t="shared" si="352"/>
        <v>0</v>
      </c>
      <c r="S336" s="340">
        <v>1</v>
      </c>
      <c r="T336" s="328">
        <f t="shared" si="353"/>
        <v>0</v>
      </c>
      <c r="V336" s="328">
        <f t="shared" si="354"/>
        <v>660</v>
      </c>
      <c r="W336" s="328">
        <f t="shared" si="355"/>
        <v>660</v>
      </c>
      <c r="X336" s="340">
        <v>1</v>
      </c>
      <c r="Y336" s="328">
        <f t="shared" si="356"/>
        <v>660</v>
      </c>
      <c r="Z336" s="328">
        <f t="shared" si="357"/>
        <v>660</v>
      </c>
      <c r="AA336" s="328">
        <f t="shared" si="358"/>
        <v>0</v>
      </c>
      <c r="AB336" s="328">
        <f t="shared" si="367"/>
        <v>0</v>
      </c>
      <c r="AC336" s="339">
        <f t="shared" si="359"/>
        <v>105.16666666666667</v>
      </c>
      <c r="AD336" s="325">
        <f t="shared" si="360"/>
        <v>122.75</v>
      </c>
      <c r="AE336" s="339">
        <f t="shared" si="361"/>
        <v>115.16666666666667</v>
      </c>
      <c r="AF336" s="325">
        <f t="shared" si="362"/>
        <v>121.75</v>
      </c>
      <c r="AG336" s="338">
        <f t="shared" si="363"/>
        <v>-8.3333333333333329E-2</v>
      </c>
    </row>
    <row r="337" spans="1:38">
      <c r="B337" s="700" t="s">
        <v>898</v>
      </c>
      <c r="C337" s="333">
        <v>105</v>
      </c>
      <c r="D337" s="333">
        <v>6</v>
      </c>
      <c r="E337" s="342">
        <v>0</v>
      </c>
      <c r="G337" s="333" t="s">
        <v>888</v>
      </c>
      <c r="H337" s="333">
        <v>10</v>
      </c>
      <c r="I337" s="341">
        <f t="shared" si="347"/>
        <v>115</v>
      </c>
      <c r="J337" s="325">
        <v>121</v>
      </c>
      <c r="K337" s="325">
        <v>12</v>
      </c>
      <c r="L337" s="331">
        <v>885</v>
      </c>
      <c r="M337" s="325">
        <v>12</v>
      </c>
      <c r="N337" s="328">
        <f t="shared" si="348"/>
        <v>885</v>
      </c>
      <c r="O337" s="328">
        <f t="shared" si="349"/>
        <v>7.375</v>
      </c>
      <c r="P337" s="328">
        <f t="shared" si="350"/>
        <v>0</v>
      </c>
      <c r="Q337" s="325">
        <f t="shared" si="351"/>
        <v>0</v>
      </c>
      <c r="R337" s="328">
        <f t="shared" si="352"/>
        <v>0</v>
      </c>
      <c r="S337" s="340">
        <v>1</v>
      </c>
      <c r="T337" s="328">
        <f t="shared" si="353"/>
        <v>0</v>
      </c>
      <c r="V337" s="328">
        <f t="shared" si="354"/>
        <v>885</v>
      </c>
      <c r="W337" s="328">
        <f t="shared" si="355"/>
        <v>885</v>
      </c>
      <c r="X337" s="340">
        <v>1</v>
      </c>
      <c r="Y337" s="328">
        <f t="shared" si="356"/>
        <v>885</v>
      </c>
      <c r="Z337" s="328">
        <f t="shared" si="357"/>
        <v>0</v>
      </c>
      <c r="AA337" s="328">
        <f t="shared" si="358"/>
        <v>0</v>
      </c>
      <c r="AB337" s="701">
        <v>0</v>
      </c>
      <c r="AC337" s="339">
        <f t="shared" si="359"/>
        <v>105.41666666666667</v>
      </c>
      <c r="AD337" s="325">
        <f t="shared" si="360"/>
        <v>122.75</v>
      </c>
      <c r="AE337" s="339">
        <f t="shared" si="361"/>
        <v>115.41666666666667</v>
      </c>
      <c r="AF337" s="325">
        <f t="shared" si="362"/>
        <v>121.75</v>
      </c>
      <c r="AG337" s="338">
        <f t="shared" si="363"/>
        <v>121.91666666666667</v>
      </c>
      <c r="AH337" s="360">
        <v>44561</v>
      </c>
      <c r="AI337" s="659">
        <v>0</v>
      </c>
      <c r="AJ337" s="659">
        <f t="shared" ref="AJ337:AJ341" si="368">L337</f>
        <v>885</v>
      </c>
      <c r="AK337" s="659">
        <f t="shared" ref="AK337:AK341" si="369">V337+R337</f>
        <v>885</v>
      </c>
      <c r="AL337" s="443">
        <f t="shared" ref="AL337:AL341" si="370">AI337-(AJ337-AK337)</f>
        <v>0</v>
      </c>
    </row>
    <row r="338" spans="1:38">
      <c r="B338" s="700" t="s">
        <v>897</v>
      </c>
      <c r="C338" s="333">
        <v>106</v>
      </c>
      <c r="D338" s="333">
        <v>4</v>
      </c>
      <c r="E338" s="342">
        <v>0</v>
      </c>
      <c r="G338" s="333" t="s">
        <v>888</v>
      </c>
      <c r="H338" s="333">
        <v>5</v>
      </c>
      <c r="I338" s="341">
        <f t="shared" si="347"/>
        <v>111</v>
      </c>
      <c r="J338" s="325">
        <v>121</v>
      </c>
      <c r="K338" s="325">
        <v>12</v>
      </c>
      <c r="L338" s="331">
        <v>2118</v>
      </c>
      <c r="M338" s="325">
        <v>12</v>
      </c>
      <c r="N338" s="328">
        <f t="shared" si="348"/>
        <v>2118</v>
      </c>
      <c r="O338" s="328">
        <f t="shared" si="349"/>
        <v>35.300000000000004</v>
      </c>
      <c r="P338" s="328">
        <f t="shared" si="350"/>
        <v>0</v>
      </c>
      <c r="Q338" s="325">
        <f t="shared" si="351"/>
        <v>0</v>
      </c>
      <c r="R338" s="328">
        <f t="shared" si="352"/>
        <v>0</v>
      </c>
      <c r="S338" s="340">
        <v>1</v>
      </c>
      <c r="T338" s="328">
        <f t="shared" si="353"/>
        <v>0</v>
      </c>
      <c r="V338" s="328">
        <f t="shared" si="354"/>
        <v>2118</v>
      </c>
      <c r="W338" s="328">
        <f t="shared" si="355"/>
        <v>2118</v>
      </c>
      <c r="X338" s="340">
        <v>1</v>
      </c>
      <c r="Y338" s="328">
        <f t="shared" si="356"/>
        <v>2118</v>
      </c>
      <c r="Z338" s="328">
        <f t="shared" si="357"/>
        <v>0</v>
      </c>
      <c r="AA338" s="328">
        <f t="shared" si="358"/>
        <v>0</v>
      </c>
      <c r="AB338" s="701">
        <v>0</v>
      </c>
      <c r="AC338" s="339">
        <f t="shared" si="359"/>
        <v>106.25</v>
      </c>
      <c r="AD338" s="325">
        <f t="shared" si="360"/>
        <v>122.75</v>
      </c>
      <c r="AE338" s="339">
        <f t="shared" si="361"/>
        <v>111.25</v>
      </c>
      <c r="AF338" s="325">
        <f t="shared" si="362"/>
        <v>121.75</v>
      </c>
      <c r="AG338" s="338">
        <f t="shared" si="363"/>
        <v>121.91666666666667</v>
      </c>
      <c r="AH338" s="360">
        <v>44561</v>
      </c>
      <c r="AI338" s="659">
        <v>0</v>
      </c>
      <c r="AJ338" s="659">
        <f t="shared" si="368"/>
        <v>2118</v>
      </c>
      <c r="AK338" s="659">
        <f t="shared" si="369"/>
        <v>2118</v>
      </c>
      <c r="AL338" s="443">
        <f t="shared" si="370"/>
        <v>0</v>
      </c>
    </row>
    <row r="339" spans="1:38">
      <c r="B339" s="700" t="s">
        <v>896</v>
      </c>
      <c r="C339" s="333">
        <v>106</v>
      </c>
      <c r="D339" s="333">
        <v>5</v>
      </c>
      <c r="E339" s="342">
        <v>0</v>
      </c>
      <c r="G339" s="333" t="s">
        <v>888</v>
      </c>
      <c r="H339" s="333">
        <v>5</v>
      </c>
      <c r="I339" s="341">
        <f t="shared" si="347"/>
        <v>111</v>
      </c>
      <c r="J339" s="325">
        <v>121</v>
      </c>
      <c r="K339" s="325">
        <v>12</v>
      </c>
      <c r="L339" s="331">
        <v>982</v>
      </c>
      <c r="M339" s="325">
        <v>12</v>
      </c>
      <c r="N339" s="328">
        <f t="shared" si="348"/>
        <v>982</v>
      </c>
      <c r="O339" s="328">
        <f t="shared" si="349"/>
        <v>16.366666666666667</v>
      </c>
      <c r="P339" s="328">
        <f t="shared" si="350"/>
        <v>0</v>
      </c>
      <c r="Q339" s="325">
        <f t="shared" si="351"/>
        <v>0</v>
      </c>
      <c r="R339" s="328">
        <f t="shared" si="352"/>
        <v>0</v>
      </c>
      <c r="S339" s="340">
        <v>1</v>
      </c>
      <c r="T339" s="328">
        <f t="shared" si="353"/>
        <v>0</v>
      </c>
      <c r="V339" s="328">
        <f t="shared" si="354"/>
        <v>982</v>
      </c>
      <c r="W339" s="328">
        <f t="shared" si="355"/>
        <v>982</v>
      </c>
      <c r="X339" s="340">
        <v>1</v>
      </c>
      <c r="Y339" s="328">
        <f t="shared" si="356"/>
        <v>982</v>
      </c>
      <c r="Z339" s="328">
        <f t="shared" si="357"/>
        <v>0</v>
      </c>
      <c r="AA339" s="328">
        <f t="shared" si="358"/>
        <v>0</v>
      </c>
      <c r="AB339" s="701">
        <v>0</v>
      </c>
      <c r="AC339" s="339">
        <f t="shared" si="359"/>
        <v>106.33333333333333</v>
      </c>
      <c r="AD339" s="325">
        <f t="shared" si="360"/>
        <v>122.75</v>
      </c>
      <c r="AE339" s="339">
        <f t="shared" si="361"/>
        <v>111.33333333333333</v>
      </c>
      <c r="AF339" s="325">
        <f t="shared" si="362"/>
        <v>121.75</v>
      </c>
      <c r="AG339" s="338">
        <f t="shared" si="363"/>
        <v>121.91666666666667</v>
      </c>
      <c r="AH339" s="360">
        <v>44561</v>
      </c>
      <c r="AI339" s="659">
        <v>0</v>
      </c>
      <c r="AJ339" s="659">
        <f t="shared" si="368"/>
        <v>982</v>
      </c>
      <c r="AK339" s="659">
        <f t="shared" si="369"/>
        <v>982</v>
      </c>
      <c r="AL339" s="443">
        <f t="shared" si="370"/>
        <v>0</v>
      </c>
    </row>
    <row r="340" spans="1:38">
      <c r="B340" s="700" t="s">
        <v>895</v>
      </c>
      <c r="C340" s="333">
        <v>106</v>
      </c>
      <c r="D340" s="333">
        <v>10</v>
      </c>
      <c r="E340" s="342">
        <v>0</v>
      </c>
      <c r="G340" s="333" t="s">
        <v>888</v>
      </c>
      <c r="H340" s="333">
        <v>5</v>
      </c>
      <c r="I340" s="341">
        <f t="shared" si="347"/>
        <v>111</v>
      </c>
      <c r="J340" s="325">
        <v>121</v>
      </c>
      <c r="K340" s="325">
        <v>12</v>
      </c>
      <c r="L340" s="331">
        <v>1083</v>
      </c>
      <c r="M340" s="325">
        <v>12</v>
      </c>
      <c r="N340" s="328">
        <f t="shared" si="348"/>
        <v>1083</v>
      </c>
      <c r="O340" s="328">
        <f t="shared" si="349"/>
        <v>18.05</v>
      </c>
      <c r="P340" s="328">
        <f t="shared" si="350"/>
        <v>0</v>
      </c>
      <c r="Q340" s="325">
        <f t="shared" si="351"/>
        <v>0</v>
      </c>
      <c r="R340" s="328">
        <f t="shared" si="352"/>
        <v>0</v>
      </c>
      <c r="S340" s="340">
        <v>1</v>
      </c>
      <c r="T340" s="328">
        <f t="shared" si="353"/>
        <v>0</v>
      </c>
      <c r="V340" s="328">
        <f t="shared" si="354"/>
        <v>1083</v>
      </c>
      <c r="W340" s="328">
        <f t="shared" si="355"/>
        <v>1083</v>
      </c>
      <c r="X340" s="340">
        <v>1</v>
      </c>
      <c r="Y340" s="328">
        <f t="shared" si="356"/>
        <v>1083</v>
      </c>
      <c r="Z340" s="328">
        <f t="shared" si="357"/>
        <v>0</v>
      </c>
      <c r="AA340" s="328">
        <f t="shared" si="358"/>
        <v>0</v>
      </c>
      <c r="AB340" s="701">
        <v>0</v>
      </c>
      <c r="AC340" s="339">
        <f t="shared" si="359"/>
        <v>106.75</v>
      </c>
      <c r="AD340" s="325">
        <f t="shared" si="360"/>
        <v>122.75</v>
      </c>
      <c r="AE340" s="339">
        <f t="shared" si="361"/>
        <v>111.75</v>
      </c>
      <c r="AF340" s="325">
        <f t="shared" si="362"/>
        <v>121.75</v>
      </c>
      <c r="AG340" s="338">
        <f t="shared" si="363"/>
        <v>121.91666666666667</v>
      </c>
      <c r="AH340" s="360">
        <v>44561</v>
      </c>
      <c r="AI340" s="659">
        <v>0</v>
      </c>
      <c r="AJ340" s="659">
        <f t="shared" si="368"/>
        <v>1083</v>
      </c>
      <c r="AK340" s="659">
        <f t="shared" si="369"/>
        <v>1083</v>
      </c>
      <c r="AL340" s="443">
        <f t="shared" si="370"/>
        <v>0</v>
      </c>
    </row>
    <row r="341" spans="1:38">
      <c r="B341" s="700" t="s">
        <v>894</v>
      </c>
      <c r="C341" s="333">
        <v>107</v>
      </c>
      <c r="D341" s="333">
        <v>4</v>
      </c>
      <c r="E341" s="342">
        <v>0</v>
      </c>
      <c r="G341" s="333" t="s">
        <v>888</v>
      </c>
      <c r="H341" s="333">
        <v>5</v>
      </c>
      <c r="I341" s="341">
        <f t="shared" si="347"/>
        <v>112</v>
      </c>
      <c r="J341" s="325">
        <v>121</v>
      </c>
      <c r="K341" s="325">
        <v>12</v>
      </c>
      <c r="L341" s="331">
        <v>1100</v>
      </c>
      <c r="M341" s="325">
        <v>12</v>
      </c>
      <c r="N341" s="328">
        <f t="shared" si="348"/>
        <v>1100</v>
      </c>
      <c r="O341" s="328">
        <f t="shared" si="349"/>
        <v>18.333333333333332</v>
      </c>
      <c r="P341" s="328">
        <f t="shared" si="350"/>
        <v>0</v>
      </c>
      <c r="Q341" s="325">
        <f t="shared" si="351"/>
        <v>0</v>
      </c>
      <c r="R341" s="328">
        <f t="shared" si="352"/>
        <v>0</v>
      </c>
      <c r="S341" s="340">
        <v>1</v>
      </c>
      <c r="T341" s="328">
        <f t="shared" si="353"/>
        <v>0</v>
      </c>
      <c r="V341" s="328">
        <f t="shared" si="354"/>
        <v>1100</v>
      </c>
      <c r="W341" s="328">
        <f t="shared" si="355"/>
        <v>1100</v>
      </c>
      <c r="X341" s="340">
        <v>1</v>
      </c>
      <c r="Y341" s="328">
        <f t="shared" si="356"/>
        <v>1100</v>
      </c>
      <c r="Z341" s="328">
        <f t="shared" si="357"/>
        <v>0</v>
      </c>
      <c r="AA341" s="328">
        <f t="shared" si="358"/>
        <v>0</v>
      </c>
      <c r="AB341" s="701">
        <v>0</v>
      </c>
      <c r="AC341" s="339">
        <f t="shared" si="359"/>
        <v>107.25</v>
      </c>
      <c r="AD341" s="325">
        <f t="shared" si="360"/>
        <v>122.75</v>
      </c>
      <c r="AE341" s="339">
        <f t="shared" si="361"/>
        <v>112.25</v>
      </c>
      <c r="AF341" s="325">
        <f t="shared" si="362"/>
        <v>121.75</v>
      </c>
      <c r="AG341" s="338">
        <f t="shared" si="363"/>
        <v>121.91666666666667</v>
      </c>
      <c r="AH341" s="360">
        <v>44561</v>
      </c>
      <c r="AI341" s="659">
        <v>0</v>
      </c>
      <c r="AJ341" s="659">
        <f t="shared" si="368"/>
        <v>1100</v>
      </c>
      <c r="AK341" s="659">
        <f t="shared" si="369"/>
        <v>1100</v>
      </c>
      <c r="AL341" s="443">
        <f t="shared" si="370"/>
        <v>0</v>
      </c>
    </row>
    <row r="342" spans="1:38">
      <c r="B342" s="333" t="s">
        <v>893</v>
      </c>
      <c r="C342" s="333">
        <v>107</v>
      </c>
      <c r="D342" s="333">
        <v>9</v>
      </c>
      <c r="E342" s="342">
        <v>0</v>
      </c>
      <c r="G342" s="333" t="s">
        <v>888</v>
      </c>
      <c r="H342" s="333">
        <v>5</v>
      </c>
      <c r="I342" s="341">
        <f t="shared" si="347"/>
        <v>112</v>
      </c>
      <c r="L342" s="331">
        <v>2201</v>
      </c>
      <c r="N342" s="328">
        <f t="shared" si="348"/>
        <v>2201</v>
      </c>
      <c r="O342" s="328">
        <f t="shared" si="349"/>
        <v>36.68333333333333</v>
      </c>
      <c r="P342" s="328">
        <f t="shared" si="350"/>
        <v>0</v>
      </c>
      <c r="Q342" s="325">
        <f t="shared" si="351"/>
        <v>0</v>
      </c>
      <c r="R342" s="328">
        <f t="shared" si="352"/>
        <v>0</v>
      </c>
      <c r="S342" s="340">
        <v>1</v>
      </c>
      <c r="T342" s="328">
        <f t="shared" si="353"/>
        <v>0</v>
      </c>
      <c r="V342" s="328">
        <f t="shared" si="354"/>
        <v>2201</v>
      </c>
      <c r="W342" s="328">
        <f t="shared" si="355"/>
        <v>2201</v>
      </c>
      <c r="X342" s="340">
        <v>1</v>
      </c>
      <c r="Y342" s="328">
        <f t="shared" si="356"/>
        <v>2201</v>
      </c>
      <c r="Z342" s="328">
        <f t="shared" si="357"/>
        <v>2201</v>
      </c>
      <c r="AA342" s="328">
        <f t="shared" si="358"/>
        <v>0</v>
      </c>
      <c r="AB342" s="328">
        <f t="shared" si="367"/>
        <v>0</v>
      </c>
      <c r="AC342" s="339">
        <f t="shared" si="359"/>
        <v>107.66666666666667</v>
      </c>
      <c r="AD342" s="325">
        <f t="shared" si="360"/>
        <v>122.75</v>
      </c>
      <c r="AE342" s="339">
        <f t="shared" si="361"/>
        <v>112.66666666666667</v>
      </c>
      <c r="AF342" s="325">
        <f t="shared" si="362"/>
        <v>121.75</v>
      </c>
      <c r="AG342" s="338">
        <f t="shared" si="363"/>
        <v>-8.3333333333333329E-2</v>
      </c>
    </row>
    <row r="343" spans="1:38" ht="16.5" customHeight="1">
      <c r="B343" s="333" t="s">
        <v>892</v>
      </c>
      <c r="C343" s="333">
        <v>107</v>
      </c>
      <c r="D343" s="333">
        <v>11</v>
      </c>
      <c r="E343" s="342">
        <v>0</v>
      </c>
      <c r="G343" s="333" t="s">
        <v>888</v>
      </c>
      <c r="H343" s="333">
        <v>5</v>
      </c>
      <c r="I343" s="341">
        <f t="shared" si="347"/>
        <v>112</v>
      </c>
      <c r="L343" s="331">
        <v>235</v>
      </c>
      <c r="N343" s="328">
        <f t="shared" si="348"/>
        <v>235</v>
      </c>
      <c r="O343" s="328">
        <f t="shared" si="349"/>
        <v>3.9166666666666665</v>
      </c>
      <c r="P343" s="328">
        <f t="shared" si="350"/>
        <v>0</v>
      </c>
      <c r="Q343" s="325">
        <f t="shared" si="351"/>
        <v>0</v>
      </c>
      <c r="R343" s="328">
        <f t="shared" si="352"/>
        <v>0</v>
      </c>
      <c r="S343" s="340">
        <v>1</v>
      </c>
      <c r="T343" s="328">
        <f t="shared" si="353"/>
        <v>0</v>
      </c>
      <c r="V343" s="328">
        <f t="shared" si="354"/>
        <v>235</v>
      </c>
      <c r="W343" s="328">
        <f t="shared" si="355"/>
        <v>235</v>
      </c>
      <c r="X343" s="340">
        <v>1</v>
      </c>
      <c r="Y343" s="328">
        <f t="shared" si="356"/>
        <v>235</v>
      </c>
      <c r="Z343" s="328">
        <f t="shared" si="357"/>
        <v>235</v>
      </c>
      <c r="AA343" s="328">
        <f t="shared" si="358"/>
        <v>0</v>
      </c>
      <c r="AB343" s="328">
        <f t="shared" si="367"/>
        <v>0</v>
      </c>
      <c r="AC343" s="339">
        <f t="shared" si="359"/>
        <v>107.83333333333333</v>
      </c>
      <c r="AD343" s="325">
        <f t="shared" si="360"/>
        <v>122.75</v>
      </c>
      <c r="AE343" s="339">
        <f t="shared" si="361"/>
        <v>112.83333333333333</v>
      </c>
      <c r="AF343" s="325">
        <f t="shared" si="362"/>
        <v>121.75</v>
      </c>
      <c r="AG343" s="338">
        <f t="shared" si="363"/>
        <v>-8.3333333333333329E-2</v>
      </c>
    </row>
    <row r="344" spans="1:38" ht="16.5" customHeight="1">
      <c r="B344" s="333" t="s">
        <v>891</v>
      </c>
      <c r="C344" s="333">
        <v>108</v>
      </c>
      <c r="D344" s="333">
        <v>7</v>
      </c>
      <c r="E344" s="342">
        <v>0</v>
      </c>
      <c r="G344" s="333" t="s">
        <v>888</v>
      </c>
      <c r="H344" s="333">
        <v>5</v>
      </c>
      <c r="I344" s="341">
        <f t="shared" si="347"/>
        <v>113</v>
      </c>
      <c r="L344" s="331">
        <v>987</v>
      </c>
      <c r="M344" s="337"/>
      <c r="N344" s="328">
        <f t="shared" si="348"/>
        <v>987</v>
      </c>
      <c r="O344" s="328">
        <f t="shared" si="349"/>
        <v>16.45</v>
      </c>
      <c r="P344" s="328">
        <f t="shared" si="350"/>
        <v>0</v>
      </c>
      <c r="Q344" s="325">
        <f t="shared" si="351"/>
        <v>0</v>
      </c>
      <c r="R344" s="328">
        <f t="shared" si="352"/>
        <v>0</v>
      </c>
      <c r="S344" s="340">
        <v>1</v>
      </c>
      <c r="T344" s="328">
        <f t="shared" si="353"/>
        <v>0</v>
      </c>
      <c r="V344" s="328">
        <f t="shared" si="354"/>
        <v>987</v>
      </c>
      <c r="W344" s="328">
        <f t="shared" si="355"/>
        <v>987</v>
      </c>
      <c r="X344" s="340">
        <v>1</v>
      </c>
      <c r="Y344" s="328">
        <f t="shared" si="356"/>
        <v>987</v>
      </c>
      <c r="Z344" s="328">
        <f t="shared" si="357"/>
        <v>987</v>
      </c>
      <c r="AA344" s="328">
        <f t="shared" si="358"/>
        <v>0</v>
      </c>
      <c r="AB344" s="328">
        <f t="shared" si="367"/>
        <v>0</v>
      </c>
      <c r="AC344" s="339">
        <f t="shared" si="359"/>
        <v>108.5</v>
      </c>
      <c r="AD344" s="325">
        <f t="shared" si="360"/>
        <v>122.75</v>
      </c>
      <c r="AE344" s="339">
        <f t="shared" si="361"/>
        <v>113.5</v>
      </c>
      <c r="AF344" s="325">
        <f t="shared" si="362"/>
        <v>121.75</v>
      </c>
      <c r="AG344" s="338">
        <f t="shared" si="363"/>
        <v>-8.3333333333333329E-2</v>
      </c>
    </row>
    <row r="345" spans="1:38">
      <c r="B345" s="333" t="s">
        <v>890</v>
      </c>
      <c r="C345" s="333">
        <v>111</v>
      </c>
      <c r="D345" s="333">
        <v>10</v>
      </c>
      <c r="E345" s="342">
        <v>0</v>
      </c>
      <c r="G345" s="333" t="s">
        <v>888</v>
      </c>
      <c r="H345" s="333">
        <v>10</v>
      </c>
      <c r="I345" s="341">
        <f t="shared" si="347"/>
        <v>121</v>
      </c>
      <c r="L345" s="331">
        <v>2580</v>
      </c>
      <c r="M345" s="337"/>
      <c r="N345" s="328">
        <f t="shared" si="348"/>
        <v>2580</v>
      </c>
      <c r="O345" s="328">
        <f t="shared" si="349"/>
        <v>21.5</v>
      </c>
      <c r="P345" s="328">
        <f t="shared" si="350"/>
        <v>0</v>
      </c>
      <c r="Q345" s="325">
        <f t="shared" si="351"/>
        <v>0</v>
      </c>
      <c r="R345" s="328">
        <f t="shared" si="352"/>
        <v>0</v>
      </c>
      <c r="S345" s="340">
        <v>1</v>
      </c>
      <c r="T345" s="328">
        <f t="shared" si="353"/>
        <v>0</v>
      </c>
      <c r="V345" s="328">
        <f t="shared" si="354"/>
        <v>2580</v>
      </c>
      <c r="W345" s="328">
        <f t="shared" si="355"/>
        <v>2580</v>
      </c>
      <c r="X345" s="340">
        <v>1</v>
      </c>
      <c r="Y345" s="328">
        <f t="shared" si="356"/>
        <v>2580</v>
      </c>
      <c r="Z345" s="328">
        <f t="shared" si="357"/>
        <v>2580</v>
      </c>
      <c r="AA345" s="328">
        <f t="shared" si="358"/>
        <v>0</v>
      </c>
      <c r="AB345" s="328">
        <f t="shared" si="367"/>
        <v>0</v>
      </c>
      <c r="AC345" s="339">
        <f t="shared" si="359"/>
        <v>111.75</v>
      </c>
      <c r="AD345" s="325">
        <f t="shared" si="360"/>
        <v>122.75</v>
      </c>
      <c r="AE345" s="339">
        <f t="shared" si="361"/>
        <v>121.75</v>
      </c>
      <c r="AF345" s="325">
        <f t="shared" si="362"/>
        <v>121.75</v>
      </c>
      <c r="AG345" s="338">
        <f t="shared" si="363"/>
        <v>-8.3333333333333329E-2</v>
      </c>
    </row>
    <row r="346" spans="1:38">
      <c r="A346" s="658"/>
      <c r="B346" s="333" t="s">
        <v>889</v>
      </c>
      <c r="C346" s="333">
        <v>114</v>
      </c>
      <c r="D346" s="333">
        <v>11</v>
      </c>
      <c r="E346" s="342">
        <v>0</v>
      </c>
      <c r="G346" s="333" t="s">
        <v>888</v>
      </c>
      <c r="H346" s="333">
        <v>5</v>
      </c>
      <c r="I346" s="341">
        <f t="shared" ref="I346:I348" si="371">+C346+H346</f>
        <v>119</v>
      </c>
      <c r="L346" s="331">
        <v>1331</v>
      </c>
      <c r="M346" s="337"/>
      <c r="N346" s="328">
        <f t="shared" ref="N346:N348" si="372">L346-L346*E346</f>
        <v>1331</v>
      </c>
      <c r="O346" s="328">
        <f t="shared" ref="O346:O348" si="373">N346/H346/12</f>
        <v>22.183333333333334</v>
      </c>
      <c r="P346" s="328">
        <f t="shared" ref="P346:P348" si="374">IF(M346&gt;0,0,IF(OR(AC346&gt;AD346,AE346&lt;AF346),0,IF(AND(AE346&gt;=AF346,AE346&lt;=AD346),O346*((AE346-AF346)*12),IF(AND(AF346&lt;=AC346,AD346&gt;=AC346),((AD346-AC346)*12)*O346,IF(AE346&gt;AD346,12*O346,0)))))</f>
        <v>0</v>
      </c>
      <c r="Q346" s="325">
        <f t="shared" ref="Q346:Q348" si="375">IF(M346=0,0,IF(AND(AG346&gt;=AF346,AG346&lt;=AE346),((AG346-AF346)*12)*O346,0))</f>
        <v>0</v>
      </c>
      <c r="R346" s="328">
        <f t="shared" ref="R346:R348" si="376">IF(Q346&gt;0,Q346,P346)</f>
        <v>0</v>
      </c>
      <c r="S346" s="340">
        <v>1</v>
      </c>
      <c r="T346" s="328">
        <f t="shared" ref="T346:T348" si="377">S346*SUM(P346:Q346)</f>
        <v>0</v>
      </c>
      <c r="V346" s="328">
        <f t="shared" ref="V346:V348" si="378">IF(AC346&gt;AD346,0,IF(AE346&lt;AF346,N346,IF(AND(AE346&gt;=AF346,AE346&lt;=AD346),(N346-R346),IF(AND(AF346&lt;=AC346,AD346&gt;=AC346),0,IF(AE346&gt;AD346,((AF346-AC346)*12)*O346,0)))))</f>
        <v>1331</v>
      </c>
      <c r="W346" s="328">
        <f t="shared" ref="W346:W348" si="379">V346*S346</f>
        <v>1331</v>
      </c>
      <c r="X346" s="340">
        <v>1</v>
      </c>
      <c r="Y346" s="328">
        <f t="shared" ref="Y346:Y348" si="380">W346*X346</f>
        <v>1331</v>
      </c>
      <c r="Z346" s="328">
        <f t="shared" ref="Z346:Z348" si="381">IF(M346&gt;0,0,Y346+T346*X346)*X346</f>
        <v>1331</v>
      </c>
      <c r="AA346" s="328">
        <f t="shared" ref="AA346:AA348" si="382">IF(M346&gt;0,(L346-Y346)/2,IF(AC346&gt;=AF346,(((L346*S346)*X346)-Z346)/2,((((L346*S346)*X346)-Y346)+(((L346*S346)*X346)-Z346))/2))</f>
        <v>0</v>
      </c>
      <c r="AB346" s="328">
        <f t="shared" ref="AB346:AB348" si="383">L346-Z346</f>
        <v>0</v>
      </c>
      <c r="AC346" s="339">
        <f t="shared" si="359"/>
        <v>114.83333333333333</v>
      </c>
      <c r="AD346" s="325">
        <f t="shared" si="360"/>
        <v>122.75</v>
      </c>
      <c r="AE346" s="339">
        <f t="shared" si="361"/>
        <v>119.83333333333333</v>
      </c>
      <c r="AF346" s="325">
        <f t="shared" si="362"/>
        <v>121.75</v>
      </c>
      <c r="AG346" s="338">
        <f t="shared" si="363"/>
        <v>-8.3333333333333329E-2</v>
      </c>
    </row>
    <row r="347" spans="1:38">
      <c r="A347" s="658"/>
      <c r="B347" s="333" t="s">
        <v>894</v>
      </c>
      <c r="C347" s="333">
        <v>120</v>
      </c>
      <c r="D347" s="333">
        <v>5</v>
      </c>
      <c r="E347" s="342">
        <v>0</v>
      </c>
      <c r="G347" s="333" t="s">
        <v>888</v>
      </c>
      <c r="H347" s="333">
        <v>5</v>
      </c>
      <c r="I347" s="341">
        <f t="shared" si="371"/>
        <v>125</v>
      </c>
      <c r="L347" s="331">
        <v>1383</v>
      </c>
      <c r="M347" s="337"/>
      <c r="N347" s="328">
        <f t="shared" si="372"/>
        <v>1383</v>
      </c>
      <c r="O347" s="328">
        <f t="shared" si="373"/>
        <v>23.05</v>
      </c>
      <c r="P347" s="328">
        <f t="shared" si="374"/>
        <v>276.60000000000002</v>
      </c>
      <c r="Q347" s="325">
        <f t="shared" si="375"/>
        <v>0</v>
      </c>
      <c r="R347" s="328">
        <f t="shared" si="376"/>
        <v>276.60000000000002</v>
      </c>
      <c r="S347" s="340">
        <v>1</v>
      </c>
      <c r="T347" s="328">
        <f t="shared" si="377"/>
        <v>276.60000000000002</v>
      </c>
      <c r="V347" s="328">
        <f t="shared" si="378"/>
        <v>391.85000000000133</v>
      </c>
      <c r="W347" s="328">
        <f t="shared" si="379"/>
        <v>391.85000000000133</v>
      </c>
      <c r="X347" s="340">
        <v>1</v>
      </c>
      <c r="Y347" s="328">
        <f t="shared" si="380"/>
        <v>391.85000000000133</v>
      </c>
      <c r="Z347" s="328">
        <f t="shared" si="381"/>
        <v>668.45000000000141</v>
      </c>
      <c r="AA347" s="328">
        <f t="shared" si="382"/>
        <v>852.84999999999866</v>
      </c>
      <c r="AB347" s="328">
        <f t="shared" si="383"/>
        <v>714.54999999999859</v>
      </c>
      <c r="AC347" s="339">
        <f t="shared" si="359"/>
        <v>120.33333333333333</v>
      </c>
      <c r="AD347" s="325">
        <f t="shared" si="360"/>
        <v>122.75</v>
      </c>
      <c r="AE347" s="339">
        <f t="shared" si="361"/>
        <v>125.33333333333333</v>
      </c>
      <c r="AF347" s="325">
        <f t="shared" si="362"/>
        <v>121.75</v>
      </c>
      <c r="AG347" s="338">
        <f t="shared" si="363"/>
        <v>-8.3333333333333329E-2</v>
      </c>
    </row>
    <row r="348" spans="1:38">
      <c r="A348" s="658"/>
      <c r="B348" s="333" t="s">
        <v>1395</v>
      </c>
      <c r="C348" s="333">
        <v>121</v>
      </c>
      <c r="D348" s="333">
        <v>9</v>
      </c>
      <c r="E348" s="342">
        <v>0</v>
      </c>
      <c r="G348" s="333" t="s">
        <v>888</v>
      </c>
      <c r="H348" s="333">
        <v>5</v>
      </c>
      <c r="I348" s="341">
        <f t="shared" si="371"/>
        <v>126</v>
      </c>
      <c r="L348" s="331">
        <v>921</v>
      </c>
      <c r="M348" s="337"/>
      <c r="N348" s="328">
        <f t="shared" si="372"/>
        <v>921</v>
      </c>
      <c r="O348" s="328">
        <f t="shared" si="373"/>
        <v>15.35</v>
      </c>
      <c r="P348" s="328">
        <f t="shared" si="374"/>
        <v>184.2</v>
      </c>
      <c r="Q348" s="325">
        <f t="shared" si="375"/>
        <v>0</v>
      </c>
      <c r="R348" s="328">
        <f t="shared" si="376"/>
        <v>184.2</v>
      </c>
      <c r="S348" s="340">
        <v>1</v>
      </c>
      <c r="T348" s="328">
        <f t="shared" si="377"/>
        <v>184.2</v>
      </c>
      <c r="V348" s="328">
        <f t="shared" si="378"/>
        <v>15.349999999999127</v>
      </c>
      <c r="W348" s="328">
        <f t="shared" si="379"/>
        <v>15.349999999999127</v>
      </c>
      <c r="X348" s="340">
        <v>1</v>
      </c>
      <c r="Y348" s="328">
        <f t="shared" si="380"/>
        <v>15.349999999999127</v>
      </c>
      <c r="Z348" s="328">
        <f t="shared" si="381"/>
        <v>199.5499999999991</v>
      </c>
      <c r="AA348" s="328">
        <f t="shared" si="382"/>
        <v>813.55000000000086</v>
      </c>
      <c r="AB348" s="328">
        <f t="shared" si="383"/>
        <v>721.45000000000095</v>
      </c>
      <c r="AC348" s="339">
        <f t="shared" si="359"/>
        <v>121.66666666666667</v>
      </c>
      <c r="AD348" s="325">
        <f t="shared" si="360"/>
        <v>122.75</v>
      </c>
      <c r="AE348" s="339">
        <f t="shared" si="361"/>
        <v>126.66666666666667</v>
      </c>
      <c r="AF348" s="325">
        <f t="shared" si="362"/>
        <v>121.75</v>
      </c>
      <c r="AG348" s="338">
        <f t="shared" si="363"/>
        <v>-8.3333333333333329E-2</v>
      </c>
    </row>
    <row r="349" spans="1:38">
      <c r="B349" s="333" t="s">
        <v>1396</v>
      </c>
      <c r="C349" s="333">
        <v>121</v>
      </c>
      <c r="D349" s="333">
        <v>9</v>
      </c>
      <c r="E349" s="342">
        <v>0</v>
      </c>
      <c r="G349" s="333" t="s">
        <v>888</v>
      </c>
      <c r="H349" s="333">
        <v>5</v>
      </c>
      <c r="I349" s="341">
        <f t="shared" si="347"/>
        <v>126</v>
      </c>
      <c r="L349" s="331">
        <v>931</v>
      </c>
      <c r="M349" s="337"/>
      <c r="N349" s="328">
        <f t="shared" si="348"/>
        <v>931</v>
      </c>
      <c r="O349" s="328">
        <f t="shared" si="349"/>
        <v>15.516666666666666</v>
      </c>
      <c r="P349" s="328">
        <f t="shared" si="350"/>
        <v>186.2</v>
      </c>
      <c r="Q349" s="325">
        <f t="shared" si="351"/>
        <v>0</v>
      </c>
      <c r="R349" s="328">
        <f t="shared" si="352"/>
        <v>186.2</v>
      </c>
      <c r="S349" s="340">
        <v>1</v>
      </c>
      <c r="T349" s="328">
        <f t="shared" si="353"/>
        <v>186.2</v>
      </c>
      <c r="V349" s="328">
        <f t="shared" si="354"/>
        <v>15.516666666665783</v>
      </c>
      <c r="W349" s="328">
        <f t="shared" si="355"/>
        <v>15.516666666665783</v>
      </c>
      <c r="X349" s="340">
        <v>1</v>
      </c>
      <c r="Y349" s="328">
        <f t="shared" si="356"/>
        <v>15.516666666665783</v>
      </c>
      <c r="Z349" s="328">
        <f t="shared" si="357"/>
        <v>201.71666666666576</v>
      </c>
      <c r="AA349" s="328">
        <f t="shared" si="358"/>
        <v>822.38333333333424</v>
      </c>
      <c r="AB349" s="328">
        <f t="shared" si="367"/>
        <v>729.28333333333421</v>
      </c>
      <c r="AC349" s="339">
        <f t="shared" si="359"/>
        <v>121.66666666666667</v>
      </c>
      <c r="AD349" s="325">
        <f t="shared" si="360"/>
        <v>122.75</v>
      </c>
      <c r="AE349" s="339">
        <f t="shared" si="361"/>
        <v>126.66666666666667</v>
      </c>
      <c r="AF349" s="325">
        <f t="shared" si="362"/>
        <v>121.75</v>
      </c>
      <c r="AG349" s="338">
        <f t="shared" si="363"/>
        <v>-8.3333333333333329E-2</v>
      </c>
    </row>
    <row r="350" spans="1:38">
      <c r="I350" s="330"/>
      <c r="L350" s="328"/>
      <c r="M350" s="337"/>
      <c r="N350" s="328"/>
      <c r="P350" s="353"/>
      <c r="Q350" s="353"/>
      <c r="R350" s="352"/>
      <c r="T350" s="329"/>
      <c r="Y350" s="328"/>
      <c r="Z350" s="328"/>
      <c r="AA350" s="329"/>
      <c r="AB350" s="329"/>
    </row>
    <row r="351" spans="1:38" ht="16.5" thickBot="1">
      <c r="B351" s="333" t="s">
        <v>887</v>
      </c>
      <c r="I351" s="330"/>
      <c r="L351" s="336">
        <f>SUM(L328:L350)-L329-L330-L331-L332-L337-L338-L339-L340-L341</f>
        <v>19501</v>
      </c>
      <c r="M351" s="328">
        <f>SUM(M328:M350)</f>
        <v>108</v>
      </c>
      <c r="N351" s="328">
        <f>SUM(N328:N350)</f>
        <v>30664</v>
      </c>
      <c r="P351" s="679">
        <f t="shared" ref="P351:R351" si="384">SUM(P328:P350)</f>
        <v>647</v>
      </c>
      <c r="Q351" s="679">
        <f t="shared" si="384"/>
        <v>0</v>
      </c>
      <c r="R351" s="343">
        <f t="shared" si="384"/>
        <v>647</v>
      </c>
      <c r="T351" s="335">
        <f>SUM(T328:T350)</f>
        <v>647</v>
      </c>
      <c r="V351" s="328">
        <f>SUM(V328:V350)</f>
        <v>27851.716666666667</v>
      </c>
      <c r="W351" s="328">
        <f>SUM(W328:W350)</f>
        <v>27851.716666666667</v>
      </c>
      <c r="Y351" s="328">
        <f>SUM(Y328:Y350)</f>
        <v>27851.716666666667</v>
      </c>
      <c r="Z351" s="328">
        <f>SUM(Z328:Z350)</f>
        <v>17335.716666666667</v>
      </c>
      <c r="AA351" s="335">
        <f>SUM(AA328:AA350)</f>
        <v>2488.7833333333338</v>
      </c>
      <c r="AB351" s="335">
        <f>SUM(AB328:AB350)</f>
        <v>2165.2833333333338</v>
      </c>
    </row>
    <row r="352" spans="1:38" ht="16.5" thickTop="1">
      <c r="I352" s="330" t="s">
        <v>886</v>
      </c>
      <c r="L352" s="334">
        <f>SUM(L328:L349)</f>
        <v>30664</v>
      </c>
      <c r="N352" s="328"/>
      <c r="R352" s="328"/>
      <c r="T352" s="329"/>
      <c r="Y352" s="328"/>
      <c r="Z352" s="328"/>
      <c r="AA352" s="329"/>
      <c r="AB352" s="329"/>
    </row>
    <row r="353" spans="2:38">
      <c r="I353" s="330"/>
      <c r="L353" s="328"/>
      <c r="N353" s="328"/>
      <c r="R353" s="328"/>
      <c r="T353" s="329"/>
      <c r="Y353" s="328"/>
      <c r="Z353" s="328"/>
      <c r="AA353" s="329"/>
      <c r="AB353" s="329"/>
    </row>
    <row r="354" spans="2:38" ht="16.5" thickBot="1">
      <c r="B354" s="333" t="s">
        <v>885</v>
      </c>
      <c r="I354" s="330" t="s">
        <v>884</v>
      </c>
      <c r="L354" s="331">
        <f>+L36+L59+L68+L203+L233+L270+L277+L285+L317+L325+L351</f>
        <v>3531858.125</v>
      </c>
      <c r="M354" s="331"/>
      <c r="N354" s="331">
        <f>+N36+N59+N68+N203+N233+N270+N277+N285+N317+N325+N351</f>
        <v>3538129.7250000001</v>
      </c>
      <c r="P354" s="684">
        <f>ROUND(+P36+P59+P68+P203+P233+P270+P277+P285+P317+P325+P351,0)</f>
        <v>272437</v>
      </c>
      <c r="Q354" s="684">
        <f>ROUND(+Q36+Q59+Q68+Q203+Q233+Q270+Q277+Q285+Q317+Q325+Q351,0)</f>
        <v>0</v>
      </c>
      <c r="R354" s="332">
        <f>ROUND(+R36+R59+R68+R203+R233+R270+R277+R285+R317+R325+R351,0)</f>
        <v>272437</v>
      </c>
      <c r="T354" s="332">
        <f>ROUND(+T36+T59+T68+T203+T233+T270+T277+T285+T317+T325+T351,0)</f>
        <v>268839</v>
      </c>
      <c r="V354" s="331">
        <f>+V36+V59+V68+V203+V233+V270+V277+V285+V317+V325+V351</f>
        <v>2088083.322178572</v>
      </c>
      <c r="W354" s="331">
        <f>+W36+W59+W68+W203+W233+W270+W277+W285+W317+W325+W351</f>
        <v>2065916.5221785719</v>
      </c>
      <c r="Y354" s="331">
        <f>+Y36+Y59+Y68+Y203+Y233+Y270+Y277+Y285+Y317+Y325+Y351</f>
        <v>2065916.5221785719</v>
      </c>
      <c r="Z354" s="331">
        <f>+Z36+Z59+Z68+Z203+Z233+Z270+Z277+Z285+Z317+Z325+Z351</f>
        <v>2319488.2180952388</v>
      </c>
      <c r="AA354" s="332">
        <f>+AA36+AA59+AA68+AA203+AA233+AA270+AA277+AA285+AA317+AA325+AA351</f>
        <v>1142371.4298630953</v>
      </c>
      <c r="AB354" s="332">
        <f>+AB36+AB59+AB68+AB203+AB233+AB270+AB277+AB285+AB317+AB325+AB351</f>
        <v>1163216.9069047619</v>
      </c>
      <c r="AI354" s="325">
        <f>SUM(AI13:AI351)</f>
        <v>0</v>
      </c>
      <c r="AJ354" s="325">
        <f>SUM(AJ13:AJ351)</f>
        <v>15267</v>
      </c>
      <c r="AK354" s="325">
        <f>SUM(AK13:AK351)</f>
        <v>15267</v>
      </c>
      <c r="AL354" s="325">
        <f>SUM(AL13:AL351)</f>
        <v>0</v>
      </c>
    </row>
    <row r="355" spans="2:38" ht="16.5" thickTop="1">
      <c r="I355" s="330" t="s">
        <v>883</v>
      </c>
      <c r="L355" s="331">
        <f>+L37+L69+L60+L204+L234+L271+L278+L286+L318+L326+L352</f>
        <v>3236205.4750000001</v>
      </c>
      <c r="N355" s="328"/>
      <c r="R355" s="328"/>
      <c r="T355" s="329" t="s">
        <v>326</v>
      </c>
      <c r="Y355" s="328"/>
      <c r="Z355" s="328"/>
      <c r="AA355" s="329" t="s">
        <v>882</v>
      </c>
      <c r="AB355" s="329"/>
      <c r="AI355" s="325" t="s">
        <v>326</v>
      </c>
    </row>
    <row r="356" spans="2:38">
      <c r="I356" s="330"/>
      <c r="L356" s="328"/>
      <c r="N356" s="328"/>
      <c r="P356" s="325" t="s">
        <v>1362</v>
      </c>
      <c r="R356" s="685">
        <f>-R325</f>
        <v>-3598.16</v>
      </c>
      <c r="T356" s="329"/>
      <c r="Y356" s="328"/>
      <c r="Z356" s="328"/>
      <c r="AA356" s="329"/>
      <c r="AB356" s="329"/>
    </row>
    <row r="357" spans="2:38" ht="16.5" thickBot="1">
      <c r="I357" s="330"/>
      <c r="P357" s="686" t="s">
        <v>1361</v>
      </c>
      <c r="R357" s="687">
        <f>R354+R356</f>
        <v>268838.84000000003</v>
      </c>
      <c r="T357" s="329"/>
      <c r="Y357" s="328"/>
      <c r="Z357" s="328"/>
      <c r="AA357" s="329"/>
      <c r="AB357" s="329"/>
    </row>
    <row r="358" spans="2:38" ht="16.5" thickTop="1">
      <c r="I358" s="330"/>
      <c r="R358" s="328"/>
      <c r="T358" s="329"/>
      <c r="Y358" s="328"/>
      <c r="Z358" s="328"/>
      <c r="AA358" s="329"/>
      <c r="AB358" s="329"/>
    </row>
    <row r="359" spans="2:38">
      <c r="R359" s="328"/>
      <c r="T359" s="329"/>
      <c r="Y359" s="328"/>
      <c r="Z359" s="328"/>
      <c r="AA359" s="329"/>
      <c r="AB359" s="329"/>
    </row>
    <row r="360" spans="2:38">
      <c r="R360" s="328"/>
      <c r="T360" s="329"/>
      <c r="Y360" s="328"/>
      <c r="Z360" s="328"/>
      <c r="AA360" s="329"/>
      <c r="AB360" s="329"/>
    </row>
    <row r="361" spans="2:38">
      <c r="R361" s="328"/>
      <c r="T361" s="329"/>
      <c r="Y361" s="328"/>
      <c r="Z361" s="328"/>
      <c r="AA361" s="329"/>
      <c r="AB361" s="329"/>
    </row>
    <row r="362" spans="2:38">
      <c r="I362" s="330"/>
      <c r="R362" s="328"/>
      <c r="T362" s="329"/>
      <c r="Y362" s="328"/>
      <c r="Z362" s="328"/>
      <c r="AA362" s="329"/>
      <c r="AB362" s="329"/>
    </row>
    <row r="363" spans="2:38">
      <c r="I363" s="330"/>
      <c r="R363" s="328"/>
      <c r="T363" s="329"/>
      <c r="Y363" s="328"/>
      <c r="Z363" s="328"/>
      <c r="AA363" s="329"/>
      <c r="AB363" s="329"/>
    </row>
    <row r="364" spans="2:38">
      <c r="I364" s="330"/>
      <c r="R364" s="328"/>
      <c r="T364" s="329"/>
      <c r="Y364" s="328"/>
      <c r="Z364" s="328"/>
      <c r="AA364" s="329"/>
      <c r="AB364" s="329"/>
    </row>
    <row r="365" spans="2:38">
      <c r="I365" s="330"/>
      <c r="R365" s="328"/>
      <c r="T365" s="329"/>
      <c r="Y365" s="328"/>
      <c r="Z365" s="328"/>
      <c r="AA365" s="329"/>
      <c r="AB365" s="329"/>
    </row>
    <row r="366" spans="2:38">
      <c r="I366" s="330"/>
      <c r="L366" s="325" t="s">
        <v>326</v>
      </c>
      <c r="R366" s="328"/>
      <c r="T366" s="329"/>
      <c r="Y366" s="328"/>
      <c r="Z366" s="328"/>
      <c r="AA366" s="329"/>
      <c r="AB366" s="329"/>
    </row>
    <row r="367" spans="2:38">
      <c r="I367" s="330"/>
      <c r="R367" s="328"/>
      <c r="T367" s="329"/>
      <c r="Y367" s="328"/>
      <c r="Z367" s="328"/>
      <c r="AA367" s="329"/>
      <c r="AB367" s="329"/>
    </row>
    <row r="368" spans="2:38">
      <c r="I368" s="330"/>
      <c r="R368" s="328"/>
      <c r="T368" s="329"/>
      <c r="Y368" s="328"/>
      <c r="Z368" s="328"/>
      <c r="AA368" s="329"/>
      <c r="AB368" s="329"/>
    </row>
    <row r="369" spans="2:28">
      <c r="I369" s="330"/>
      <c r="R369" s="328"/>
      <c r="T369" s="329"/>
      <c r="Y369" s="328"/>
      <c r="Z369" s="328"/>
      <c r="AA369" s="329"/>
      <c r="AB369" s="329"/>
    </row>
    <row r="370" spans="2:28">
      <c r="I370" s="330"/>
      <c r="L370" s="328"/>
      <c r="N370" s="328"/>
      <c r="R370" s="328"/>
      <c r="T370" s="329"/>
      <c r="Y370" s="328"/>
      <c r="Z370" s="328"/>
      <c r="AA370" s="329"/>
      <c r="AB370" s="329"/>
    </row>
    <row r="371" spans="2:28">
      <c r="I371" s="330"/>
      <c r="L371" s="328"/>
      <c r="N371" s="328"/>
      <c r="R371" s="328"/>
      <c r="T371" s="329"/>
      <c r="Y371" s="328"/>
      <c r="Z371" s="328"/>
      <c r="AA371" s="329"/>
      <c r="AB371" s="329"/>
    </row>
    <row r="372" spans="2:28">
      <c r="I372" s="330"/>
      <c r="L372" s="328"/>
      <c r="N372" s="328"/>
      <c r="R372" s="328"/>
      <c r="T372" s="329"/>
      <c r="Y372" s="328"/>
      <c r="Z372" s="328"/>
      <c r="AA372" s="329"/>
      <c r="AB372" s="329"/>
    </row>
    <row r="373" spans="2:28">
      <c r="I373" s="330"/>
      <c r="L373" s="328"/>
      <c r="N373" s="328"/>
      <c r="R373" s="328"/>
      <c r="T373" s="329"/>
      <c r="Y373" s="328"/>
      <c r="Z373" s="328"/>
      <c r="AA373" s="329"/>
      <c r="AB373" s="329"/>
    </row>
    <row r="374" spans="2:28">
      <c r="I374" s="330"/>
      <c r="L374" s="328"/>
      <c r="N374" s="328"/>
      <c r="R374" s="328"/>
      <c r="T374" s="329"/>
      <c r="Y374" s="328"/>
      <c r="Z374" s="328"/>
      <c r="AA374" s="329"/>
      <c r="AB374" s="329"/>
    </row>
    <row r="375" spans="2:28">
      <c r="I375" s="330"/>
      <c r="L375" s="328"/>
      <c r="N375" s="328"/>
      <c r="R375" s="328"/>
      <c r="T375" s="329"/>
      <c r="Y375" s="328"/>
      <c r="Z375" s="328"/>
      <c r="AA375" s="329"/>
      <c r="AB375" s="329"/>
    </row>
    <row r="376" spans="2:28">
      <c r="I376" s="330"/>
      <c r="L376" s="328"/>
      <c r="N376" s="328"/>
      <c r="R376" s="328"/>
      <c r="T376" s="329"/>
      <c r="Y376" s="328"/>
      <c r="Z376" s="328"/>
      <c r="AA376" s="329"/>
      <c r="AB376" s="329"/>
    </row>
    <row r="377" spans="2:28">
      <c r="I377" s="330"/>
      <c r="L377" s="328"/>
      <c r="N377" s="328"/>
      <c r="R377" s="328"/>
      <c r="T377" s="329"/>
      <c r="Y377" s="328"/>
      <c r="Z377" s="328"/>
      <c r="AA377" s="329"/>
      <c r="AB377" s="329"/>
    </row>
    <row r="378" spans="2:28">
      <c r="I378" s="330"/>
      <c r="L378" s="328"/>
      <c r="N378" s="328"/>
      <c r="R378" s="328"/>
      <c r="T378" s="329"/>
      <c r="Y378" s="328"/>
      <c r="Z378" s="328"/>
      <c r="AA378" s="329"/>
      <c r="AB378" s="329"/>
    </row>
    <row r="379" spans="2:28">
      <c r="I379" s="330"/>
      <c r="L379" s="328"/>
      <c r="N379" s="328"/>
      <c r="R379" s="328"/>
      <c r="T379" s="329"/>
      <c r="Y379" s="328"/>
      <c r="Z379" s="328"/>
      <c r="AA379" s="329"/>
      <c r="AB379" s="329"/>
    </row>
    <row r="380" spans="2:28">
      <c r="I380" s="330"/>
      <c r="L380" s="328"/>
      <c r="N380" s="328"/>
      <c r="R380" s="328"/>
      <c r="T380" s="329"/>
      <c r="Y380" s="328"/>
      <c r="Z380" s="328"/>
      <c r="AA380" s="329"/>
      <c r="AB380" s="329"/>
    </row>
    <row r="381" spans="2:28">
      <c r="L381" s="328"/>
      <c r="Y381" s="328"/>
      <c r="Z381" s="328"/>
    </row>
    <row r="382" spans="2:28">
      <c r="L382" s="328"/>
      <c r="Y382" s="328"/>
      <c r="Z382" s="328"/>
      <c r="AA382" s="328"/>
      <c r="AB382" s="328"/>
    </row>
    <row r="383" spans="2:28">
      <c r="Y383" s="328"/>
      <c r="Z383" s="328"/>
      <c r="AA383" s="328"/>
      <c r="AB383" s="328"/>
    </row>
    <row r="384" spans="2:28" ht="19.5">
      <c r="B384" s="327" t="s">
        <v>881</v>
      </c>
      <c r="C384" s="326"/>
      <c r="D384" s="326"/>
    </row>
    <row r="385" spans="2:4">
      <c r="B385" s="326" t="s">
        <v>880</v>
      </c>
      <c r="C385" s="326"/>
      <c r="D385" s="326"/>
    </row>
    <row r="386" spans="2:4">
      <c r="B386" s="326"/>
      <c r="C386" s="326" t="s">
        <v>879</v>
      </c>
      <c r="D386" s="326"/>
    </row>
    <row r="387" spans="2:4">
      <c r="B387" s="326"/>
      <c r="C387" s="326" t="s">
        <v>878</v>
      </c>
      <c r="D387" s="326"/>
    </row>
    <row r="388" spans="2:4">
      <c r="B388" s="326"/>
      <c r="C388" s="326" t="s">
        <v>876</v>
      </c>
      <c r="D388" s="326" t="s">
        <v>877</v>
      </c>
    </row>
    <row r="389" spans="2:4">
      <c r="B389" s="326"/>
      <c r="C389" s="326" t="s">
        <v>876</v>
      </c>
      <c r="D389" s="326" t="s">
        <v>875</v>
      </c>
    </row>
  </sheetData>
  <pageMargins left="0.17" right="0.17" top="0.5" bottom="0.5" header="0.5" footer="0.5"/>
  <pageSetup scale="40" fitToHeight="5" orientation="landscape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30"/>
  <sheetViews>
    <sheetView zoomScaleNormal="100" workbookViewId="0">
      <selection activeCell="G3" sqref="G3"/>
    </sheetView>
  </sheetViews>
  <sheetFormatPr defaultRowHeight="12.75"/>
  <cols>
    <col min="2" max="2" width="27.140625" customWidth="1"/>
    <col min="3" max="3" width="17.140625" customWidth="1"/>
    <col min="4" max="4" width="15" customWidth="1"/>
    <col min="5" max="5" width="21.85546875" customWidth="1"/>
    <col min="6" max="6" width="14.7109375" customWidth="1"/>
    <col min="7" max="7" width="4.28515625" customWidth="1"/>
    <col min="8" max="8" width="14.42578125" customWidth="1"/>
    <col min="12" max="12" width="16.28515625" customWidth="1"/>
    <col min="14" max="14" width="15.42578125" customWidth="1"/>
    <col min="16" max="16" width="15.28515625" customWidth="1"/>
  </cols>
  <sheetData>
    <row r="1" spans="1:16">
      <c r="C1" s="2" t="s">
        <v>205</v>
      </c>
      <c r="D1" s="2"/>
      <c r="E1" s="2"/>
    </row>
    <row r="2" spans="1:16">
      <c r="C2" s="2"/>
      <c r="D2" s="2"/>
      <c r="E2" s="2"/>
      <c r="F2" s="643" t="s">
        <v>1342</v>
      </c>
      <c r="G2" s="643" t="s">
        <v>689</v>
      </c>
    </row>
    <row r="3" spans="1:16">
      <c r="C3" s="2" t="s">
        <v>206</v>
      </c>
      <c r="D3" s="2"/>
      <c r="E3" s="2"/>
    </row>
    <row r="4" spans="1:16">
      <c r="C4" s="2"/>
      <c r="D4" s="2"/>
      <c r="E4" s="2"/>
    </row>
    <row r="5" spans="1:16">
      <c r="C5" s="774" t="s">
        <v>1471</v>
      </c>
      <c r="D5" s="2"/>
      <c r="E5" s="2"/>
    </row>
    <row r="6" spans="1:16">
      <c r="C6" s="2"/>
      <c r="D6" s="2"/>
      <c r="E6" s="2"/>
    </row>
    <row r="7" spans="1:16">
      <c r="C7" s="2" t="s">
        <v>207</v>
      </c>
      <c r="D7" s="2"/>
      <c r="E7" s="2"/>
    </row>
    <row r="9" spans="1:16">
      <c r="L9" t="s">
        <v>1314</v>
      </c>
    </row>
    <row r="10" spans="1:16">
      <c r="F10" s="2"/>
      <c r="L10" t="s">
        <v>1315</v>
      </c>
      <c r="P10" s="47">
        <f>+D97</f>
        <v>256052.00899999944</v>
      </c>
    </row>
    <row r="11" spans="1:16">
      <c r="D11" s="54"/>
      <c r="F11" s="54"/>
      <c r="H11" s="54"/>
      <c r="L11" t="s">
        <v>1316</v>
      </c>
    </row>
    <row r="13" spans="1:16">
      <c r="B13" t="s">
        <v>208</v>
      </c>
    </row>
    <row r="14" spans="1:16">
      <c r="A14">
        <v>1011</v>
      </c>
      <c r="B14" t="s">
        <v>209</v>
      </c>
      <c r="D14" s="60">
        <v>13267.02</v>
      </c>
      <c r="L14" s="60">
        <v>13267.02</v>
      </c>
      <c r="N14" s="73">
        <f t="shared" ref="N14:N21" si="0">+D14-L14</f>
        <v>0</v>
      </c>
    </row>
    <row r="15" spans="1:16">
      <c r="A15">
        <v>1012</v>
      </c>
      <c r="B15" t="s">
        <v>276</v>
      </c>
      <c r="D15" s="61">
        <v>620404.89</v>
      </c>
      <c r="L15" s="61">
        <v>620404.89</v>
      </c>
      <c r="N15" s="73">
        <f t="shared" si="0"/>
        <v>0</v>
      </c>
    </row>
    <row r="16" spans="1:16">
      <c r="A16">
        <v>1016</v>
      </c>
      <c r="B16" t="s">
        <v>210</v>
      </c>
      <c r="D16" s="47">
        <v>168900.42</v>
      </c>
      <c r="L16" s="47">
        <v>168900.42</v>
      </c>
      <c r="N16" s="73">
        <f t="shared" si="0"/>
        <v>0</v>
      </c>
    </row>
    <row r="17" spans="1:16">
      <c r="A17">
        <v>1018</v>
      </c>
      <c r="B17" t="s">
        <v>275</v>
      </c>
      <c r="D17" s="47">
        <v>30471.13</v>
      </c>
      <c r="L17" s="47">
        <v>30471.13</v>
      </c>
      <c r="N17" s="73">
        <f t="shared" si="0"/>
        <v>0</v>
      </c>
    </row>
    <row r="18" spans="1:16">
      <c r="A18">
        <v>1020</v>
      </c>
      <c r="B18" t="s">
        <v>317</v>
      </c>
      <c r="D18" s="47">
        <v>104734.02</v>
      </c>
      <c r="L18" s="47">
        <v>104734.02</v>
      </c>
      <c r="N18" s="73">
        <f t="shared" si="0"/>
        <v>0</v>
      </c>
    </row>
    <row r="19" spans="1:16">
      <c r="A19">
        <v>1062</v>
      </c>
      <c r="B19" t="s">
        <v>211</v>
      </c>
      <c r="D19" s="47">
        <v>25068.81</v>
      </c>
      <c r="L19" s="47">
        <v>25068.81</v>
      </c>
      <c r="N19" s="73">
        <f t="shared" si="0"/>
        <v>0</v>
      </c>
    </row>
    <row r="20" spans="1:16">
      <c r="A20">
        <v>1064</v>
      </c>
      <c r="B20" t="s">
        <v>212</v>
      </c>
      <c r="D20" s="47">
        <v>50158.21</v>
      </c>
      <c r="L20" s="47">
        <v>50158.21</v>
      </c>
      <c r="N20" s="73">
        <f t="shared" si="0"/>
        <v>0</v>
      </c>
    </row>
    <row r="21" spans="1:16">
      <c r="A21">
        <v>1122</v>
      </c>
      <c r="B21" t="s">
        <v>213</v>
      </c>
      <c r="D21" s="47">
        <v>351028.53</v>
      </c>
      <c r="L21" s="47">
        <v>351028.53</v>
      </c>
      <c r="N21" s="73">
        <f t="shared" si="0"/>
        <v>0</v>
      </c>
    </row>
    <row r="22" spans="1:16">
      <c r="A22">
        <v>1128</v>
      </c>
      <c r="B22" t="s">
        <v>214</v>
      </c>
      <c r="D22" s="47"/>
      <c r="L22" s="47"/>
      <c r="N22" s="73"/>
    </row>
    <row r="23" spans="1:16">
      <c r="A23">
        <v>1130</v>
      </c>
      <c r="B23" t="s">
        <v>215</v>
      </c>
      <c r="D23" s="47">
        <v>32622.09</v>
      </c>
      <c r="L23" s="47">
        <v>32622.09</v>
      </c>
      <c r="N23" s="73">
        <f>+D23-L23</f>
        <v>0</v>
      </c>
    </row>
    <row r="24" spans="1:16">
      <c r="A24">
        <v>1174</v>
      </c>
      <c r="B24" t="s">
        <v>216</v>
      </c>
      <c r="D24" s="62">
        <v>37944.160000000003</v>
      </c>
      <c r="L24" s="62">
        <v>37944.160000000003</v>
      </c>
      <c r="N24" s="73">
        <f>+D24-L24</f>
        <v>0</v>
      </c>
      <c r="O24" t="s">
        <v>318</v>
      </c>
    </row>
    <row r="25" spans="1:16">
      <c r="D25" s="47"/>
      <c r="L25" s="47"/>
      <c r="N25" s="73"/>
    </row>
    <row r="26" spans="1:16">
      <c r="B26" t="s">
        <v>217</v>
      </c>
      <c r="D26" s="62">
        <f>SUM(D14:D24)</f>
        <v>1434599.2800000003</v>
      </c>
      <c r="L26" s="62">
        <f>SUM(L14:L24)</f>
        <v>1434599.2800000003</v>
      </c>
      <c r="N26" s="73">
        <f>+D26-L26</f>
        <v>0</v>
      </c>
      <c r="P26" s="73">
        <f>+N26</f>
        <v>0</v>
      </c>
    </row>
    <row r="27" spans="1:16">
      <c r="F27" s="643" t="s">
        <v>1484</v>
      </c>
      <c r="N27" s="73"/>
    </row>
    <row r="28" spans="1:16">
      <c r="B28" t="s">
        <v>218</v>
      </c>
      <c r="N28" s="73"/>
    </row>
    <row r="29" spans="1:16">
      <c r="A29">
        <v>1222</v>
      </c>
      <c r="B29" t="s">
        <v>219</v>
      </c>
      <c r="D29" s="17">
        <v>1968381</v>
      </c>
      <c r="F29" s="17">
        <v>0</v>
      </c>
      <c r="H29" s="17">
        <f t="shared" ref="H29:H37" si="1">D29-F29</f>
        <v>1968381</v>
      </c>
      <c r="I29" s="643" t="s">
        <v>1432</v>
      </c>
      <c r="L29" s="17">
        <v>1808387.54</v>
      </c>
      <c r="N29" s="73">
        <f t="shared" ref="N29:N39" si="2">+D29-L29</f>
        <v>159993.45999999996</v>
      </c>
    </row>
    <row r="30" spans="1:16">
      <c r="A30">
        <v>1224</v>
      </c>
      <c r="B30" t="s">
        <v>220</v>
      </c>
      <c r="D30" s="47">
        <v>1098812</v>
      </c>
      <c r="F30" s="47">
        <v>0</v>
      </c>
      <c r="H30" s="17">
        <f t="shared" si="1"/>
        <v>1098812</v>
      </c>
      <c r="I30" s="643" t="s">
        <v>1432</v>
      </c>
      <c r="L30" s="47">
        <v>1098813.57</v>
      </c>
      <c r="N30" s="73">
        <f t="shared" si="2"/>
        <v>-1.5700000000651926</v>
      </c>
    </row>
    <row r="31" spans="1:16">
      <c r="A31">
        <v>1226</v>
      </c>
      <c r="B31" t="s">
        <v>324</v>
      </c>
      <c r="D31" s="47">
        <v>4692</v>
      </c>
      <c r="F31" s="47">
        <v>0</v>
      </c>
      <c r="H31" s="17">
        <f>D31-F31</f>
        <v>4692</v>
      </c>
      <c r="I31" s="643" t="s">
        <v>1432</v>
      </c>
      <c r="L31" s="47">
        <v>4692.2700000000004</v>
      </c>
      <c r="N31" s="73">
        <f>+D31-L31</f>
        <v>-0.27000000000043656</v>
      </c>
    </row>
    <row r="32" spans="1:16">
      <c r="A32">
        <v>1230</v>
      </c>
      <c r="B32" t="s">
        <v>221</v>
      </c>
      <c r="D32" s="47">
        <v>299341</v>
      </c>
      <c r="F32" s="47">
        <v>0</v>
      </c>
      <c r="H32" s="17">
        <f t="shared" si="1"/>
        <v>299341</v>
      </c>
      <c r="I32" s="643"/>
      <c r="L32" s="47">
        <v>272007.71999999997</v>
      </c>
      <c r="N32" s="73">
        <f t="shared" si="2"/>
        <v>27333.280000000028</v>
      </c>
    </row>
    <row r="33" spans="1:16">
      <c r="A33">
        <v>1240</v>
      </c>
      <c r="B33" t="s">
        <v>222</v>
      </c>
      <c r="D33" s="47">
        <v>91979</v>
      </c>
      <c r="F33" s="47">
        <v>0</v>
      </c>
      <c r="H33" s="17">
        <f t="shared" si="1"/>
        <v>91979</v>
      </c>
      <c r="I33" s="643" t="s">
        <v>1432</v>
      </c>
      <c r="L33" s="47">
        <v>89606.53</v>
      </c>
      <c r="N33" s="73">
        <f t="shared" si="2"/>
        <v>2372.4700000000012</v>
      </c>
    </row>
    <row r="34" spans="1:16">
      <c r="A34">
        <v>1250</v>
      </c>
      <c r="B34" t="s">
        <v>223</v>
      </c>
      <c r="D34" s="47">
        <v>19501</v>
      </c>
      <c r="F34" s="47">
        <v>0</v>
      </c>
      <c r="H34" s="17">
        <f t="shared" si="1"/>
        <v>19501</v>
      </c>
      <c r="I34" s="647" t="s">
        <v>1379</v>
      </c>
      <c r="J34" s="643" t="s">
        <v>1430</v>
      </c>
      <c r="L34" s="47">
        <v>19502.55</v>
      </c>
      <c r="N34" s="73">
        <f t="shared" si="2"/>
        <v>-1.5499999999992724</v>
      </c>
    </row>
    <row r="35" spans="1:16">
      <c r="A35">
        <v>1291</v>
      </c>
      <c r="B35" t="s">
        <v>224</v>
      </c>
      <c r="D35" s="47">
        <v>-2319488</v>
      </c>
      <c r="F35" s="47">
        <v>0</v>
      </c>
      <c r="H35" s="17">
        <f t="shared" si="1"/>
        <v>-2319488</v>
      </c>
      <c r="I35" s="83">
        <v>268839</v>
      </c>
      <c r="J35">
        <v>-15267</v>
      </c>
      <c r="L35" s="47">
        <v>-2872858.02</v>
      </c>
      <c r="N35" s="73">
        <f t="shared" si="2"/>
        <v>553370.02</v>
      </c>
    </row>
    <row r="36" spans="1:16">
      <c r="A36">
        <v>1422</v>
      </c>
      <c r="B36" t="s">
        <v>191</v>
      </c>
      <c r="D36" s="47">
        <v>49153</v>
      </c>
      <c r="F36" s="47">
        <v>0</v>
      </c>
      <c r="H36" s="17">
        <f t="shared" si="1"/>
        <v>49153</v>
      </c>
      <c r="I36" s="83"/>
      <c r="L36" s="47">
        <v>49152.98</v>
      </c>
      <c r="N36" s="73">
        <f t="shared" si="2"/>
        <v>1.9999999996798579E-2</v>
      </c>
    </row>
    <row r="37" spans="1:16">
      <c r="A37">
        <v>1491</v>
      </c>
      <c r="B37" t="s">
        <v>224</v>
      </c>
      <c r="D37" s="62">
        <v>-25765</v>
      </c>
      <c r="F37" s="62">
        <v>0</v>
      </c>
      <c r="H37" s="17">
        <f t="shared" si="1"/>
        <v>-25765</v>
      </c>
      <c r="I37" s="83"/>
      <c r="L37" s="62">
        <v>-41789.980000000003</v>
      </c>
      <c r="N37" s="78">
        <f t="shared" si="2"/>
        <v>16024.980000000003</v>
      </c>
    </row>
    <row r="38" spans="1:16">
      <c r="D38" s="47"/>
      <c r="L38" s="47"/>
      <c r="N38" s="73">
        <f t="shared" si="2"/>
        <v>0</v>
      </c>
    </row>
    <row r="39" spans="1:16">
      <c r="B39" t="s">
        <v>225</v>
      </c>
      <c r="D39" s="62">
        <f>SUM(D29:D37)</f>
        <v>1186606</v>
      </c>
      <c r="L39" s="62">
        <f>SUM(L29:L37)</f>
        <v>427515.16000000015</v>
      </c>
      <c r="N39" s="73">
        <f t="shared" si="2"/>
        <v>759090.83999999985</v>
      </c>
      <c r="P39" s="73">
        <f>+F39-N39</f>
        <v>-759090.83999999985</v>
      </c>
    </row>
    <row r="40" spans="1:16">
      <c r="N40" s="73"/>
    </row>
    <row r="41" spans="1:16">
      <c r="B41" t="s">
        <v>226</v>
      </c>
      <c r="N41" s="73"/>
    </row>
    <row r="42" spans="1:16">
      <c r="A42">
        <v>1616</v>
      </c>
      <c r="B42" t="s">
        <v>227</v>
      </c>
      <c r="D42" s="47">
        <v>2842.1</v>
      </c>
      <c r="L42" s="47">
        <v>2842.1</v>
      </c>
      <c r="N42" s="73">
        <f>+D42-L42</f>
        <v>0</v>
      </c>
    </row>
    <row r="43" spans="1:16">
      <c r="D43" s="62">
        <v>0</v>
      </c>
      <c r="L43" s="62">
        <v>0</v>
      </c>
      <c r="N43" s="73"/>
    </row>
    <row r="44" spans="1:16">
      <c r="D44" s="47"/>
      <c r="L44" s="47"/>
      <c r="N44" s="73">
        <f>+D44-L44</f>
        <v>0</v>
      </c>
    </row>
    <row r="45" spans="1:16">
      <c r="B45" t="s">
        <v>228</v>
      </c>
      <c r="D45" s="62">
        <f>SUM(D42:D43)</f>
        <v>2842.1</v>
      </c>
      <c r="L45" s="62">
        <f>SUM(L42:L43)</f>
        <v>2842.1</v>
      </c>
      <c r="N45" s="73">
        <f>+D45-L45</f>
        <v>0</v>
      </c>
      <c r="P45" s="73">
        <f>N45</f>
        <v>0</v>
      </c>
    </row>
    <row r="46" spans="1:16">
      <c r="N46" s="73">
        <f>+D46-L46</f>
        <v>0</v>
      </c>
    </row>
    <row r="47" spans="1:16" ht="13.5" thickBot="1">
      <c r="B47" t="s">
        <v>229</v>
      </c>
      <c r="D47" s="59">
        <f>+D26+D39+D45</f>
        <v>2624047.3800000004</v>
      </c>
      <c r="L47" s="59">
        <f>+L26+L39+L45</f>
        <v>1864956.5400000005</v>
      </c>
      <c r="N47" s="73">
        <f>+D47-L47</f>
        <v>759090.83999999985</v>
      </c>
      <c r="P47">
        <f>SUM(P14:P45)</f>
        <v>-759090.83999999985</v>
      </c>
    </row>
    <row r="48" spans="1:16" ht="13.5" thickTop="1">
      <c r="N48" s="73"/>
    </row>
    <row r="49" spans="3:14">
      <c r="N49" s="73"/>
    </row>
    <row r="50" spans="3:14">
      <c r="N50" s="73"/>
    </row>
    <row r="51" spans="3:14">
      <c r="N51" s="73"/>
    </row>
    <row r="52" spans="3:14">
      <c r="N52" s="73"/>
    </row>
    <row r="53" spans="3:14">
      <c r="N53" s="73"/>
    </row>
    <row r="54" spans="3:14">
      <c r="N54" s="73"/>
    </row>
    <row r="55" spans="3:14">
      <c r="C55" s="2" t="s">
        <v>230</v>
      </c>
      <c r="D55" s="2"/>
      <c r="E55" s="2"/>
      <c r="F55" s="2"/>
      <c r="L55" s="2"/>
      <c r="N55" s="73"/>
    </row>
    <row r="56" spans="3:14">
      <c r="C56" s="2"/>
      <c r="D56" s="2"/>
      <c r="E56" s="2"/>
      <c r="F56" s="2"/>
      <c r="L56" s="2"/>
      <c r="N56" s="73"/>
    </row>
    <row r="57" spans="3:14">
      <c r="C57" s="2" t="s">
        <v>206</v>
      </c>
      <c r="D57" s="2"/>
      <c r="E57" s="2"/>
      <c r="F57" s="2"/>
      <c r="L57" s="2"/>
      <c r="N57" s="73"/>
    </row>
    <row r="58" spans="3:14">
      <c r="C58" s="2"/>
      <c r="D58" s="2"/>
      <c r="E58" s="2"/>
      <c r="F58" s="2"/>
      <c r="L58" s="2"/>
      <c r="N58" s="73"/>
    </row>
    <row r="59" spans="3:14">
      <c r="C59" s="2" t="str">
        <f>+C5</f>
        <v>9/30/2022</v>
      </c>
      <c r="D59" s="2"/>
      <c r="E59" s="2"/>
      <c r="F59" s="2"/>
      <c r="L59" s="2"/>
      <c r="N59" s="73"/>
    </row>
    <row r="60" spans="3:14">
      <c r="C60" s="2"/>
      <c r="D60" s="2"/>
      <c r="E60" s="2"/>
      <c r="F60" s="2"/>
      <c r="L60" s="2"/>
      <c r="N60" s="73"/>
    </row>
    <row r="61" spans="3:14">
      <c r="C61" s="2" t="s">
        <v>231</v>
      </c>
      <c r="D61" s="2"/>
      <c r="E61" s="2"/>
      <c r="F61" s="2"/>
      <c r="L61" s="2"/>
      <c r="N61" s="73"/>
    </row>
    <row r="62" spans="3:14">
      <c r="C62" s="2" t="s">
        <v>232</v>
      </c>
      <c r="D62" s="2"/>
      <c r="E62" s="2"/>
      <c r="F62" s="2"/>
      <c r="L62" s="2"/>
      <c r="N62" s="73"/>
    </row>
    <row r="63" spans="3:14">
      <c r="N63" s="73"/>
    </row>
    <row r="64" spans="3:14">
      <c r="N64" s="73"/>
    </row>
    <row r="65" spans="1:16">
      <c r="B65" t="s">
        <v>233</v>
      </c>
      <c r="N65" s="73"/>
    </row>
    <row r="66" spans="1:16">
      <c r="A66">
        <v>2052</v>
      </c>
      <c r="B66" t="s">
        <v>234</v>
      </c>
      <c r="D66" s="52">
        <v>154572.25</v>
      </c>
      <c r="L66" s="52">
        <v>154572.25</v>
      </c>
      <c r="N66" s="73">
        <f t="shared" ref="N66:N81" si="3">+D66-L66</f>
        <v>0</v>
      </c>
    </row>
    <row r="67" spans="1:16">
      <c r="A67">
        <v>2080</v>
      </c>
      <c r="B67" t="s">
        <v>252</v>
      </c>
      <c r="D67" s="47">
        <v>7462.1</v>
      </c>
      <c r="L67" s="47">
        <v>7462.1</v>
      </c>
      <c r="N67" s="73">
        <f t="shared" si="3"/>
        <v>0</v>
      </c>
    </row>
    <row r="68" spans="1:16">
      <c r="A68">
        <v>2122</v>
      </c>
      <c r="B68" t="s">
        <v>288</v>
      </c>
      <c r="D68" s="47">
        <v>0</v>
      </c>
      <c r="L68" s="47">
        <v>0</v>
      </c>
      <c r="N68" s="73">
        <f t="shared" si="3"/>
        <v>0</v>
      </c>
    </row>
    <row r="69" spans="1:16">
      <c r="A69">
        <v>2124</v>
      </c>
      <c r="B69" t="s">
        <v>235</v>
      </c>
      <c r="D69" s="47">
        <v>2017.14</v>
      </c>
      <c r="L69" s="47">
        <v>2017.14</v>
      </c>
      <c r="N69" s="73">
        <f t="shared" si="3"/>
        <v>0</v>
      </c>
    </row>
    <row r="70" spans="1:16">
      <c r="A70">
        <v>2125</v>
      </c>
      <c r="B70" t="s">
        <v>1310</v>
      </c>
      <c r="D70" s="47">
        <v>1675.57</v>
      </c>
      <c r="L70" s="47">
        <v>1675.57</v>
      </c>
      <c r="N70" s="73">
        <f t="shared" ref="N70" si="4">+D70-L70</f>
        <v>0</v>
      </c>
    </row>
    <row r="71" spans="1:16">
      <c r="A71">
        <v>2126</v>
      </c>
      <c r="B71" t="s">
        <v>236</v>
      </c>
      <c r="D71" s="47">
        <v>92.1</v>
      </c>
      <c r="L71" s="47">
        <v>92.1</v>
      </c>
      <c r="N71" s="73">
        <f t="shared" si="3"/>
        <v>0</v>
      </c>
    </row>
    <row r="72" spans="1:16">
      <c r="A72">
        <v>2128</v>
      </c>
      <c r="B72" t="s">
        <v>237</v>
      </c>
      <c r="D72" s="47">
        <v>6618.4</v>
      </c>
      <c r="L72" s="47">
        <v>6618.4</v>
      </c>
      <c r="N72" s="73">
        <f t="shared" si="3"/>
        <v>0</v>
      </c>
    </row>
    <row r="73" spans="1:16">
      <c r="A73">
        <v>2142</v>
      </c>
      <c r="B73" t="s">
        <v>238</v>
      </c>
      <c r="D73" s="47">
        <v>16396.82</v>
      </c>
      <c r="L73" s="47">
        <v>16396.82</v>
      </c>
      <c r="N73" s="73">
        <f t="shared" si="3"/>
        <v>0</v>
      </c>
    </row>
    <row r="74" spans="1:16">
      <c r="A74">
        <v>2144</v>
      </c>
      <c r="B74" t="s">
        <v>239</v>
      </c>
      <c r="D74" s="47">
        <v>1042.6199999999999</v>
      </c>
      <c r="L74" s="47">
        <v>1042.6199999999999</v>
      </c>
      <c r="N74" s="73">
        <f t="shared" si="3"/>
        <v>0</v>
      </c>
    </row>
    <row r="75" spans="1:16">
      <c r="A75">
        <v>2146</v>
      </c>
      <c r="B75" t="s">
        <v>1311</v>
      </c>
      <c r="D75" s="47">
        <v>24417.35</v>
      </c>
      <c r="L75" s="47">
        <v>24417.35</v>
      </c>
      <c r="N75" s="73">
        <f t="shared" ref="N75" si="5">+D75-L75</f>
        <v>0</v>
      </c>
    </row>
    <row r="76" spans="1:16">
      <c r="A76">
        <v>2180</v>
      </c>
      <c r="B76" t="s">
        <v>240</v>
      </c>
      <c r="D76" s="62">
        <v>107100</v>
      </c>
      <c r="L76" s="62">
        <v>107100</v>
      </c>
      <c r="N76" s="73">
        <f t="shared" si="3"/>
        <v>0</v>
      </c>
    </row>
    <row r="77" spans="1:16">
      <c r="D77" s="47"/>
      <c r="L77" s="47"/>
      <c r="N77" s="73">
        <f t="shared" si="3"/>
        <v>0</v>
      </c>
    </row>
    <row r="78" spans="1:16">
      <c r="B78" t="s">
        <v>241</v>
      </c>
      <c r="D78" s="62">
        <f>SUM(D66:D76)</f>
        <v>321394.35000000003</v>
      </c>
      <c r="L78" s="62">
        <f>SUM(L66:L76)</f>
        <v>321394.35000000003</v>
      </c>
      <c r="N78" s="73">
        <f t="shared" si="3"/>
        <v>0</v>
      </c>
      <c r="P78" s="73">
        <f>+N78</f>
        <v>0</v>
      </c>
    </row>
    <row r="79" spans="1:16">
      <c r="N79" s="73">
        <f t="shared" si="3"/>
        <v>0</v>
      </c>
    </row>
    <row r="80" spans="1:16">
      <c r="B80" t="s">
        <v>242</v>
      </c>
      <c r="N80" s="73">
        <f t="shared" si="3"/>
        <v>0</v>
      </c>
    </row>
    <row r="81" spans="1:14">
      <c r="A81">
        <v>2326</v>
      </c>
      <c r="B81" t="s">
        <v>298</v>
      </c>
      <c r="D81" s="47">
        <v>30879.38</v>
      </c>
      <c r="L81" s="47">
        <v>30879.38</v>
      </c>
      <c r="N81" s="73">
        <f t="shared" si="3"/>
        <v>0</v>
      </c>
    </row>
    <row r="82" spans="1:14">
      <c r="A82">
        <v>2324</v>
      </c>
      <c r="B82" t="s">
        <v>325</v>
      </c>
      <c r="D82" s="47">
        <v>0</v>
      </c>
      <c r="L82" s="47">
        <v>0</v>
      </c>
      <c r="N82" s="73">
        <f t="shared" ref="N82:N103" si="6">+D82-L82</f>
        <v>0</v>
      </c>
    </row>
    <row r="83" spans="1:14">
      <c r="A83">
        <v>2330</v>
      </c>
      <c r="B83" t="s">
        <v>298</v>
      </c>
      <c r="D83" s="47">
        <v>46120.77</v>
      </c>
      <c r="L83" s="47">
        <v>46120.77</v>
      </c>
      <c r="N83" s="73"/>
    </row>
    <row r="84" spans="1:14">
      <c r="A84">
        <v>2332</v>
      </c>
      <c r="B84" s="643" t="s">
        <v>1483</v>
      </c>
      <c r="D84" s="47">
        <v>116562.34</v>
      </c>
      <c r="L84" s="47">
        <v>116562.34</v>
      </c>
      <c r="N84" s="73"/>
    </row>
    <row r="85" spans="1:14">
      <c r="A85">
        <v>2380</v>
      </c>
      <c r="B85" t="s">
        <v>243</v>
      </c>
      <c r="D85" s="62">
        <v>-107100</v>
      </c>
      <c r="L85" s="62">
        <v>-107100</v>
      </c>
      <c r="N85" s="73">
        <f t="shared" si="6"/>
        <v>0</v>
      </c>
    </row>
    <row r="86" spans="1:14">
      <c r="D86" s="47"/>
      <c r="L86" s="47"/>
      <c r="N86" s="73">
        <f t="shared" si="6"/>
        <v>0</v>
      </c>
    </row>
    <row r="87" spans="1:14">
      <c r="B87" t="s">
        <v>244</v>
      </c>
      <c r="D87" s="62">
        <f>SUM(D81:D85)</f>
        <v>86462.489999999991</v>
      </c>
      <c r="L87" s="62">
        <f>SUM(L81:L85)</f>
        <v>86462.489999999991</v>
      </c>
      <c r="N87" s="73">
        <f t="shared" si="6"/>
        <v>0</v>
      </c>
    </row>
    <row r="88" spans="1:14">
      <c r="D88" s="690"/>
      <c r="L88" s="690"/>
      <c r="N88" s="73">
        <f t="shared" si="6"/>
        <v>0</v>
      </c>
    </row>
    <row r="89" spans="1:14">
      <c r="B89" s="643" t="s">
        <v>1363</v>
      </c>
      <c r="D89" s="690"/>
      <c r="L89" s="690"/>
      <c r="N89" s="73">
        <f t="shared" si="6"/>
        <v>0</v>
      </c>
    </row>
    <row r="90" spans="1:14">
      <c r="B90" s="643" t="s">
        <v>1365</v>
      </c>
      <c r="D90" s="62">
        <v>23810</v>
      </c>
      <c r="L90" s="62">
        <v>0</v>
      </c>
      <c r="N90" s="73">
        <f t="shared" si="6"/>
        <v>23810</v>
      </c>
    </row>
    <row r="91" spans="1:14">
      <c r="D91" s="47"/>
      <c r="L91" s="47"/>
      <c r="N91" s="73">
        <f t="shared" si="6"/>
        <v>0</v>
      </c>
    </row>
    <row r="92" spans="1:14">
      <c r="B92" s="643" t="s">
        <v>1364</v>
      </c>
      <c r="D92" s="62">
        <f>+D90</f>
        <v>23810</v>
      </c>
      <c r="L92" s="62">
        <f>+L90</f>
        <v>0</v>
      </c>
      <c r="N92" s="73">
        <f t="shared" si="6"/>
        <v>23810</v>
      </c>
    </row>
    <row r="93" spans="1:14">
      <c r="D93" s="690"/>
      <c r="L93" s="47"/>
      <c r="N93" s="73"/>
    </row>
    <row r="94" spans="1:14">
      <c r="B94" t="s">
        <v>245</v>
      </c>
      <c r="D94" s="47"/>
      <c r="E94" t="s">
        <v>319</v>
      </c>
      <c r="F94" s="47">
        <v>0</v>
      </c>
      <c r="L94" s="47"/>
      <c r="N94" s="73">
        <f t="shared" si="6"/>
        <v>0</v>
      </c>
    </row>
    <row r="95" spans="1:14">
      <c r="A95">
        <v>2701</v>
      </c>
      <c r="B95" t="s">
        <v>246</v>
      </c>
      <c r="D95" s="47">
        <v>11600</v>
      </c>
      <c r="E95" s="83" t="s">
        <v>321</v>
      </c>
      <c r="F95" s="79">
        <v>0</v>
      </c>
      <c r="H95" t="s">
        <v>1381</v>
      </c>
      <c r="L95" s="47">
        <v>11600</v>
      </c>
      <c r="N95" s="73">
        <f t="shared" si="6"/>
        <v>0</v>
      </c>
    </row>
    <row r="96" spans="1:14">
      <c r="A96">
        <v>2932</v>
      </c>
      <c r="B96" t="s">
        <v>247</v>
      </c>
      <c r="D96" s="47">
        <v>1924728.53</v>
      </c>
      <c r="E96" t="s">
        <v>320</v>
      </c>
      <c r="F96" s="80">
        <v>0</v>
      </c>
      <c r="L96" s="47">
        <v>1184576.69</v>
      </c>
      <c r="N96" s="73">
        <f t="shared" si="6"/>
        <v>740151.84000000008</v>
      </c>
    </row>
    <row r="97" spans="1:14">
      <c r="B97" t="s">
        <v>251</v>
      </c>
      <c r="D97" s="62">
        <f>+D225</f>
        <v>256052.00899999944</v>
      </c>
      <c r="F97" s="79">
        <f>SUM(F94:F96)</f>
        <v>0</v>
      </c>
      <c r="L97" s="62">
        <f>+H225</f>
        <v>260923.00899999944</v>
      </c>
      <c r="N97" s="73">
        <f t="shared" si="6"/>
        <v>-4871</v>
      </c>
    </row>
    <row r="98" spans="1:14">
      <c r="D98" s="47"/>
      <c r="L98" s="47"/>
      <c r="N98" s="73">
        <f t="shared" si="6"/>
        <v>0</v>
      </c>
    </row>
    <row r="99" spans="1:14">
      <c r="B99" t="s">
        <v>248</v>
      </c>
      <c r="D99" s="62">
        <f>SUM(D95:D97)</f>
        <v>2192380.5389999994</v>
      </c>
      <c r="L99" s="62">
        <f>SUM(L95:L97)</f>
        <v>1457099.6989999993</v>
      </c>
      <c r="N99" s="73">
        <f t="shared" si="6"/>
        <v>735280.84000000008</v>
      </c>
    </row>
    <row r="100" spans="1:14">
      <c r="N100" s="73">
        <f t="shared" si="6"/>
        <v>0</v>
      </c>
    </row>
    <row r="101" spans="1:14" ht="13.5" thickBot="1">
      <c r="B101" t="s">
        <v>249</v>
      </c>
      <c r="D101" s="160">
        <f>+D78+D87+D92+D99</f>
        <v>2624047.3789999993</v>
      </c>
      <c r="L101" s="59">
        <f>+L78+L87+L99</f>
        <v>1864956.5389999994</v>
      </c>
      <c r="N101" s="73">
        <f t="shared" si="6"/>
        <v>759090.83999999985</v>
      </c>
    </row>
    <row r="102" spans="1:14" ht="13.5" thickTop="1">
      <c r="N102" s="73"/>
    </row>
    <row r="103" spans="1:14">
      <c r="B103" t="s">
        <v>250</v>
      </c>
      <c r="D103" s="81">
        <f>+D47-D101</f>
        <v>1.0000010952353477E-3</v>
      </c>
      <c r="E103" s="643" t="s">
        <v>1433</v>
      </c>
      <c r="L103" s="81">
        <f>+L47-L101</f>
        <v>1.0000010952353477E-3</v>
      </c>
      <c r="N103" s="73">
        <f t="shared" si="6"/>
        <v>0</v>
      </c>
    </row>
    <row r="104" spans="1:14">
      <c r="E104" s="58">
        <f>(D78+D87)/D101</f>
        <v>0.15543044049586885</v>
      </c>
      <c r="F104" s="643" t="s">
        <v>1366</v>
      </c>
    </row>
    <row r="105" spans="1:14">
      <c r="B105" s="83"/>
      <c r="C105" t="s">
        <v>326</v>
      </c>
    </row>
    <row r="106" spans="1:14">
      <c r="B106" s="83"/>
    </row>
    <row r="111" spans="1:14">
      <c r="A111" s="83" t="s">
        <v>322</v>
      </c>
    </row>
    <row r="112" spans="1:14">
      <c r="D112" s="647" t="s">
        <v>1489</v>
      </c>
    </row>
    <row r="113" spans="1:6">
      <c r="D113" s="647" t="s">
        <v>1490</v>
      </c>
    </row>
    <row r="114" spans="1:6" ht="13.5" thickBot="1">
      <c r="D114" s="3" t="str">
        <f>+C59</f>
        <v>9/30/2022</v>
      </c>
      <c r="E114" s="678" t="s">
        <v>1380</v>
      </c>
      <c r="F114" t="s">
        <v>86</v>
      </c>
    </row>
    <row r="115" spans="1:6" ht="13.5" thickTop="1"/>
    <row r="116" spans="1:6">
      <c r="A116" t="s">
        <v>3</v>
      </c>
    </row>
    <row r="117" spans="1:6">
      <c r="A117">
        <v>3100</v>
      </c>
      <c r="B117" t="s">
        <v>5</v>
      </c>
      <c r="D117" s="6">
        <f>'Monthy Income Statements'!O10</f>
        <v>2021399.1700000002</v>
      </c>
    </row>
    <row r="118" spans="1:6">
      <c r="A118">
        <v>3112</v>
      </c>
      <c r="B118" t="s">
        <v>6</v>
      </c>
      <c r="D118" s="6">
        <f>'Monthy Income Statements'!O11</f>
        <v>281255.37999999995</v>
      </c>
    </row>
    <row r="119" spans="1:6">
      <c r="A119">
        <v>3114</v>
      </c>
      <c r="B119" t="s">
        <v>7</v>
      </c>
      <c r="D119" s="6">
        <f>'Monthy Income Statements'!O12</f>
        <v>119568.62999999999</v>
      </c>
    </row>
    <row r="120" spans="1:6">
      <c r="A120">
        <v>3300</v>
      </c>
      <c r="B120" t="s">
        <v>8</v>
      </c>
      <c r="D120" s="6">
        <f>'Monthy Income Statements'!O13</f>
        <v>241108.40100000001</v>
      </c>
    </row>
    <row r="121" spans="1:6">
      <c r="A121">
        <v>3310</v>
      </c>
      <c r="B121" t="s">
        <v>9</v>
      </c>
      <c r="D121" s="6">
        <f>'Monthy Income Statements'!O14</f>
        <v>364912.47</v>
      </c>
      <c r="E121" s="6"/>
      <c r="F121" s="6"/>
    </row>
    <row r="122" spans="1:6">
      <c r="A122">
        <v>3410</v>
      </c>
      <c r="B122" t="s">
        <v>327</v>
      </c>
      <c r="D122" s="6">
        <f>'Monthy Income Statements'!O15</f>
        <v>77041.150000000009</v>
      </c>
    </row>
    <row r="123" spans="1:6">
      <c r="A123">
        <v>3450</v>
      </c>
      <c r="B123" t="s">
        <v>328</v>
      </c>
      <c r="D123" s="6">
        <f>'Monthy Income Statements'!O16</f>
        <v>47391.199999999997</v>
      </c>
    </row>
    <row r="124" spans="1:6">
      <c r="A124">
        <v>3460</v>
      </c>
      <c r="B124" t="s">
        <v>10</v>
      </c>
      <c r="D124" s="6">
        <f>'Monthy Income Statements'!O17</f>
        <v>0</v>
      </c>
    </row>
    <row r="125" spans="1:6">
      <c r="A125">
        <v>3500</v>
      </c>
      <c r="B125" t="s">
        <v>11</v>
      </c>
      <c r="D125" s="43">
        <f>'Monthy Income Statements'!O18</f>
        <v>0</v>
      </c>
    </row>
    <row r="126" spans="1:6">
      <c r="D126" s="6"/>
    </row>
    <row r="127" spans="1:6" ht="13.5" thickBot="1">
      <c r="B127" t="s">
        <v>4</v>
      </c>
      <c r="D127" s="7">
        <f>SUM(D117:D125)</f>
        <v>3152676.4010000001</v>
      </c>
      <c r="F127" s="7">
        <f>SUM(F117:F125)</f>
        <v>0</v>
      </c>
    </row>
    <row r="128" spans="1:6">
      <c r="D128" s="6"/>
    </row>
    <row r="129" spans="1:14">
      <c r="A129" t="s">
        <v>12</v>
      </c>
      <c r="D129" s="6"/>
    </row>
    <row r="130" spans="1:14">
      <c r="A130" t="s">
        <v>13</v>
      </c>
      <c r="D130" s="6"/>
    </row>
    <row r="131" spans="1:14">
      <c r="A131">
        <v>4116</v>
      </c>
      <c r="B131" t="s">
        <v>29</v>
      </c>
      <c r="D131" s="82">
        <f>'Monthy Income Statements'!O24</f>
        <v>99700.398000000001</v>
      </c>
      <c r="J131" s="643" t="s">
        <v>1367</v>
      </c>
      <c r="N131" s="6">
        <f>SUM(D131:D135)+SUM(D146:D150)+SUM(D170:D172)</f>
        <v>730703.94800000009</v>
      </c>
    </row>
    <row r="132" spans="1:14">
      <c r="A132">
        <v>4117</v>
      </c>
      <c r="B132" t="s">
        <v>290</v>
      </c>
      <c r="D132" s="82">
        <f>'Monthy Income Statements'!O25</f>
        <v>3554.75</v>
      </c>
      <c r="J132" s="643" t="s">
        <v>1368</v>
      </c>
      <c r="N132" s="6">
        <f>SUM(D182:D183)</f>
        <v>88799.37000000001</v>
      </c>
    </row>
    <row r="133" spans="1:14">
      <c r="A133">
        <v>4118</v>
      </c>
      <c r="B133" t="s">
        <v>30</v>
      </c>
      <c r="D133" s="82">
        <f>'Monthy Income Statements'!O26</f>
        <v>3089</v>
      </c>
      <c r="J133" s="643" t="s">
        <v>1369</v>
      </c>
      <c r="N133" s="6">
        <f>+SUM(D151:D155)</f>
        <v>153170.70000000001</v>
      </c>
    </row>
    <row r="134" spans="1:14">
      <c r="A134">
        <v>4120</v>
      </c>
      <c r="B134" t="s">
        <v>293</v>
      </c>
      <c r="D134" s="82">
        <f>'Monthy Income Statements'!O27</f>
        <v>140</v>
      </c>
      <c r="J134" s="643" t="s">
        <v>1371</v>
      </c>
      <c r="N134" s="6">
        <f>+SUM(D136:D144)</f>
        <v>130112.81400000001</v>
      </c>
    </row>
    <row r="135" spans="1:14">
      <c r="A135">
        <v>4122</v>
      </c>
      <c r="B135" t="s">
        <v>329</v>
      </c>
      <c r="D135" s="82">
        <f>'Monthy Income Statements'!O28</f>
        <v>4619.5</v>
      </c>
      <c r="J135" s="643" t="s">
        <v>1372</v>
      </c>
      <c r="N135" s="6">
        <f>SUM(D166:D168)</f>
        <v>95433.590000000011</v>
      </c>
    </row>
    <row r="136" spans="1:14">
      <c r="A136">
        <v>4132</v>
      </c>
      <c r="B136" t="s">
        <v>31</v>
      </c>
      <c r="D136" s="82">
        <f>'Monthy Income Statements'!O29</f>
        <v>60580.42</v>
      </c>
      <c r="J136" s="643" t="s">
        <v>1370</v>
      </c>
      <c r="N136" s="6">
        <f>SUM(D157:D161)</f>
        <v>1052848.19</v>
      </c>
    </row>
    <row r="137" spans="1:14">
      <c r="A137">
        <v>4133</v>
      </c>
      <c r="B137" t="s">
        <v>291</v>
      </c>
      <c r="D137" s="82">
        <f>'Monthy Income Statements'!O30</f>
        <v>5382.42</v>
      </c>
      <c r="J137" s="643" t="s">
        <v>385</v>
      </c>
      <c r="N137" s="6">
        <f>SUM(D191:D192)</f>
        <v>263125</v>
      </c>
    </row>
    <row r="138" spans="1:14">
      <c r="A138">
        <v>4134</v>
      </c>
      <c r="B138" t="s">
        <v>32</v>
      </c>
      <c r="D138" s="82">
        <f>'Monthy Income Statements'!O31</f>
        <v>4733.16</v>
      </c>
      <c r="J138" s="643" t="s">
        <v>1373</v>
      </c>
      <c r="N138" s="6">
        <f>SUM(D163:D164)</f>
        <v>4734.32</v>
      </c>
    </row>
    <row r="139" spans="1:14">
      <c r="A139">
        <v>4134</v>
      </c>
      <c r="B139" t="s">
        <v>292</v>
      </c>
      <c r="D139" s="82">
        <f>'Monthy Income Statements'!O32</f>
        <v>526.72</v>
      </c>
      <c r="J139" s="643" t="s">
        <v>1374</v>
      </c>
      <c r="N139" s="6">
        <f>SUM(D173:D181)+SUM(D186:D189)</f>
        <v>120217.92</v>
      </c>
    </row>
    <row r="140" spans="1:14">
      <c r="A140">
        <v>4138</v>
      </c>
      <c r="B140" t="s">
        <v>330</v>
      </c>
      <c r="D140" s="82">
        <f>'Monthy Income Statements'!O33</f>
        <v>2603.9899999999998</v>
      </c>
      <c r="J140" s="643" t="s">
        <v>1375</v>
      </c>
      <c r="N140">
        <v>0</v>
      </c>
    </row>
    <row r="141" spans="1:14">
      <c r="A141">
        <v>4160</v>
      </c>
      <c r="B141" t="s">
        <v>33</v>
      </c>
      <c r="D141" s="82">
        <f>'Monthy Income Statements'!O34</f>
        <v>31238.010000000002</v>
      </c>
      <c r="J141" s="643" t="s">
        <v>1376</v>
      </c>
      <c r="N141" s="6">
        <f>SUM(D196:D203)</f>
        <v>133859.24000000002</v>
      </c>
    </row>
    <row r="142" spans="1:14">
      <c r="A142">
        <v>4162</v>
      </c>
      <c r="B142" t="s">
        <v>289</v>
      </c>
      <c r="D142" s="82">
        <f>'Monthy Income Statements'!O35</f>
        <v>3764.16</v>
      </c>
      <c r="J142" s="643" t="s">
        <v>1377</v>
      </c>
      <c r="N142" s="6">
        <f>+D205+D206</f>
        <v>117312</v>
      </c>
    </row>
    <row r="143" spans="1:14">
      <c r="A143">
        <v>4164</v>
      </c>
      <c r="B143" t="s">
        <v>1313</v>
      </c>
      <c r="D143" s="82">
        <f>'Monthy Income Statements'!O36</f>
        <v>0</v>
      </c>
      <c r="J143" s="643" t="s">
        <v>1378</v>
      </c>
      <c r="N143" s="76"/>
    </row>
    <row r="144" spans="1:14">
      <c r="A144">
        <v>4180</v>
      </c>
      <c r="B144" t="s">
        <v>34</v>
      </c>
      <c r="D144" s="82">
        <f>'Monthy Income Statements'!O37</f>
        <v>21283.934000000001</v>
      </c>
    </row>
    <row r="145" spans="1:15">
      <c r="A145" t="s">
        <v>16</v>
      </c>
      <c r="D145" s="6"/>
      <c r="K145" s="643" t="s">
        <v>2</v>
      </c>
      <c r="N145" s="6">
        <f>SUM(N131:N143)</f>
        <v>2890317.0920000002</v>
      </c>
      <c r="O145" t="str">
        <f>IF(N145=D208,"OK", "ERR")</f>
        <v>OK</v>
      </c>
    </row>
    <row r="146" spans="1:15">
      <c r="A146">
        <v>4210</v>
      </c>
      <c r="B146" t="s">
        <v>35</v>
      </c>
      <c r="D146" s="6">
        <v>0</v>
      </c>
    </row>
    <row r="147" spans="1:15">
      <c r="A147">
        <v>4213</v>
      </c>
      <c r="B147" t="s">
        <v>36</v>
      </c>
      <c r="D147" s="82">
        <f>'Monthy Income Statements'!O40</f>
        <v>332289.94000000006</v>
      </c>
    </row>
    <row r="148" spans="1:15">
      <c r="A148">
        <v>4215</v>
      </c>
      <c r="B148" t="s">
        <v>37</v>
      </c>
      <c r="D148" s="82">
        <f>'Monthy Income Statements'!O41</f>
        <v>42058.5</v>
      </c>
    </row>
    <row r="149" spans="1:15">
      <c r="A149">
        <v>4217</v>
      </c>
      <c r="B149" t="s">
        <v>284</v>
      </c>
      <c r="D149" s="82">
        <f>'Monthy Income Statements'!O42</f>
        <v>9199</v>
      </c>
    </row>
    <row r="150" spans="1:15">
      <c r="A150">
        <v>4222</v>
      </c>
      <c r="B150" t="s">
        <v>331</v>
      </c>
      <c r="D150" s="82">
        <f>'Monthy Income Statements'!O43</f>
        <v>9409.880000000001</v>
      </c>
    </row>
    <row r="151" spans="1:15">
      <c r="A151">
        <v>4240</v>
      </c>
      <c r="B151" t="s">
        <v>38</v>
      </c>
      <c r="D151" s="82">
        <f>'Monthy Income Statements'!O44</f>
        <v>111084.39</v>
      </c>
    </row>
    <row r="152" spans="1:15">
      <c r="A152">
        <v>4242</v>
      </c>
      <c r="B152" t="s">
        <v>282</v>
      </c>
      <c r="D152" s="82">
        <f>'Monthy Income Statements'!O45</f>
        <v>24776.99</v>
      </c>
    </row>
    <row r="153" spans="1:15">
      <c r="A153">
        <v>4244</v>
      </c>
      <c r="B153" t="s">
        <v>332</v>
      </c>
      <c r="D153" s="82">
        <f>'Monthy Income Statements'!O46</f>
        <v>3085.0899999999997</v>
      </c>
    </row>
    <row r="154" spans="1:15">
      <c r="A154">
        <v>4280</v>
      </c>
      <c r="B154" t="s">
        <v>39</v>
      </c>
      <c r="D154" s="82">
        <f>'Monthy Income Statements'!O47</f>
        <v>14224.23</v>
      </c>
    </row>
    <row r="155" spans="1:15">
      <c r="A155">
        <v>4282</v>
      </c>
      <c r="B155" t="s">
        <v>334</v>
      </c>
      <c r="D155" s="82">
        <f>'Monthy Income Statements'!O48</f>
        <v>0</v>
      </c>
    </row>
    <row r="156" spans="1:15">
      <c r="A156" t="s">
        <v>17</v>
      </c>
      <c r="D156" s="6"/>
    </row>
    <row r="157" spans="1:15">
      <c r="A157">
        <v>4360</v>
      </c>
      <c r="B157" t="s">
        <v>40</v>
      </c>
      <c r="D157" s="82">
        <f>'Monthy Income Statements'!O50</f>
        <v>425876.56999999995</v>
      </c>
    </row>
    <row r="158" spans="1:15">
      <c r="A158">
        <v>4361</v>
      </c>
      <c r="B158" t="s">
        <v>41</v>
      </c>
      <c r="D158" s="82">
        <f>'Monthy Income Statements'!O51</f>
        <v>255383.11</v>
      </c>
    </row>
    <row r="159" spans="1:15">
      <c r="A159">
        <v>4362</v>
      </c>
      <c r="B159" t="s">
        <v>42</v>
      </c>
      <c r="D159" s="82">
        <f>'Monthy Income Statements'!O52</f>
        <v>250601.41000000003</v>
      </c>
    </row>
    <row r="160" spans="1:15">
      <c r="A160">
        <v>4363</v>
      </c>
      <c r="B160" t="s">
        <v>43</v>
      </c>
      <c r="D160" s="82">
        <f>'Monthy Income Statements'!O53</f>
        <v>110547.86</v>
      </c>
    </row>
    <row r="161" spans="1:4">
      <c r="A161">
        <v>4380</v>
      </c>
      <c r="B161" t="s">
        <v>335</v>
      </c>
      <c r="D161" s="82">
        <f>'Monthy Income Statements'!O54</f>
        <v>10439.240000000002</v>
      </c>
    </row>
    <row r="162" spans="1:4">
      <c r="A162" t="s">
        <v>14</v>
      </c>
      <c r="D162" s="6"/>
    </row>
    <row r="163" spans="1:4">
      <c r="A163">
        <v>4430</v>
      </c>
      <c r="B163" t="s">
        <v>44</v>
      </c>
      <c r="D163" s="82">
        <f>'Monthy Income Statements'!O56</f>
        <v>0</v>
      </c>
    </row>
    <row r="164" spans="1:4">
      <c r="A164">
        <v>4450</v>
      </c>
      <c r="B164" t="s">
        <v>45</v>
      </c>
      <c r="D164" s="82">
        <f>'Monthy Income Statements'!O57</f>
        <v>4734.32</v>
      </c>
    </row>
    <row r="165" spans="1:4">
      <c r="A165" t="s">
        <v>15</v>
      </c>
      <c r="D165" s="6"/>
    </row>
    <row r="166" spans="1:4">
      <c r="A166">
        <v>4530</v>
      </c>
      <c r="B166" t="s">
        <v>46</v>
      </c>
      <c r="D166" s="82">
        <f>'Monthy Income Statements'!O59</f>
        <v>74682.400000000009</v>
      </c>
    </row>
    <row r="167" spans="1:4">
      <c r="A167">
        <v>4540</v>
      </c>
      <c r="B167" t="s">
        <v>47</v>
      </c>
      <c r="D167" s="82">
        <f>'Monthy Income Statements'!O60</f>
        <v>20751.190000000002</v>
      </c>
    </row>
    <row r="168" spans="1:4">
      <c r="A168">
        <v>4580</v>
      </c>
      <c r="B168" t="s">
        <v>48</v>
      </c>
      <c r="D168" s="82">
        <f>'Monthy Income Statements'!O61</f>
        <v>0</v>
      </c>
    </row>
    <row r="169" spans="1:4">
      <c r="A169" t="s">
        <v>18</v>
      </c>
      <c r="D169" s="6"/>
    </row>
    <row r="170" spans="1:4">
      <c r="A170">
        <v>4611</v>
      </c>
      <c r="B170" t="s">
        <v>49</v>
      </c>
      <c r="D170" s="82">
        <f>'Monthy Income Statements'!O63</f>
        <v>75800</v>
      </c>
    </row>
    <row r="171" spans="1:4">
      <c r="A171">
        <v>4612</v>
      </c>
      <c r="B171" t="s">
        <v>50</v>
      </c>
      <c r="D171" s="82">
        <f>'Monthy Income Statements'!O64</f>
        <v>13914.41</v>
      </c>
    </row>
    <row r="172" spans="1:4">
      <c r="A172">
        <v>4613</v>
      </c>
      <c r="B172" t="s">
        <v>51</v>
      </c>
      <c r="D172" s="82">
        <f>'Monthy Income Statements'!O65</f>
        <v>136928.57</v>
      </c>
    </row>
    <row r="173" spans="1:4">
      <c r="A173">
        <v>4620</v>
      </c>
      <c r="B173" t="s">
        <v>52</v>
      </c>
      <c r="D173" s="82">
        <f>'Monthy Income Statements'!O66</f>
        <v>48500.990000000005</v>
      </c>
    </row>
    <row r="174" spans="1:4">
      <c r="A174">
        <v>4622</v>
      </c>
      <c r="B174" t="s">
        <v>53</v>
      </c>
      <c r="D174" s="82">
        <f>'Monthy Income Statements'!O67</f>
        <v>0</v>
      </c>
    </row>
    <row r="175" spans="1:4">
      <c r="A175">
        <v>4624</v>
      </c>
      <c r="B175" t="s">
        <v>54</v>
      </c>
      <c r="D175" s="82">
        <f>'Monthy Income Statements'!O68</f>
        <v>929.5</v>
      </c>
    </row>
    <row r="176" spans="1:4">
      <c r="A176">
        <v>4625</v>
      </c>
      <c r="B176" t="s">
        <v>55</v>
      </c>
      <c r="D176" s="82">
        <f>'Monthy Income Statements'!O69</f>
        <v>3070.6299999999997</v>
      </c>
    </row>
    <row r="177" spans="1:6">
      <c r="A177">
        <v>4627</v>
      </c>
      <c r="B177" t="s">
        <v>56</v>
      </c>
      <c r="D177" s="82">
        <f>'Monthy Income Statements'!O70</f>
        <v>719.56</v>
      </c>
    </row>
    <row r="178" spans="1:6">
      <c r="A178">
        <v>4628</v>
      </c>
      <c r="B178" t="s">
        <v>1308</v>
      </c>
      <c r="D178" s="82">
        <f>'Monthy Income Statements'!O71</f>
        <v>22633.739999999998</v>
      </c>
    </row>
    <row r="179" spans="1:6">
      <c r="A179">
        <v>4630</v>
      </c>
      <c r="B179" t="s">
        <v>57</v>
      </c>
      <c r="D179" s="82">
        <f>'Monthy Income Statements'!O72</f>
        <v>525</v>
      </c>
    </row>
    <row r="180" spans="1:6">
      <c r="A180">
        <v>4640</v>
      </c>
      <c r="B180" t="s">
        <v>58</v>
      </c>
      <c r="D180" s="82">
        <f>'Monthy Income Statements'!O73</f>
        <v>15285.13</v>
      </c>
    </row>
    <row r="181" spans="1:6">
      <c r="A181">
        <v>4642</v>
      </c>
      <c r="B181" s="643" t="s">
        <v>1399</v>
      </c>
      <c r="D181" s="82">
        <f>'Monthy Income Statements'!O74</f>
        <v>953.68</v>
      </c>
    </row>
    <row r="182" spans="1:6">
      <c r="A182">
        <v>4650</v>
      </c>
      <c r="B182" t="s">
        <v>59</v>
      </c>
      <c r="D182" s="82">
        <f>'Monthy Income Statements'!O75</f>
        <v>78116.320000000007</v>
      </c>
    </row>
    <row r="183" spans="1:6">
      <c r="A183">
        <v>4652</v>
      </c>
      <c r="B183" t="s">
        <v>60</v>
      </c>
      <c r="D183" s="82">
        <f>'Monthy Income Statements'!O76</f>
        <v>10683.049999999997</v>
      </c>
    </row>
    <row r="184" spans="1:6">
      <c r="A184">
        <v>4660</v>
      </c>
      <c r="B184" t="s">
        <v>61</v>
      </c>
      <c r="D184" s="82">
        <f>'Monthy Income Statements'!O77</f>
        <v>0</v>
      </c>
    </row>
    <row r="185" spans="1:6">
      <c r="A185">
        <v>4670</v>
      </c>
      <c r="B185" t="s">
        <v>62</v>
      </c>
      <c r="D185" s="82">
        <f>'Monthy Income Statements'!O78</f>
        <v>0</v>
      </c>
    </row>
    <row r="186" spans="1:6">
      <c r="A186">
        <v>4680</v>
      </c>
      <c r="B186" t="s">
        <v>63</v>
      </c>
      <c r="D186" s="82">
        <f>'Monthy Income Statements'!O79</f>
        <v>13958.2</v>
      </c>
    </row>
    <row r="187" spans="1:6">
      <c r="A187">
        <v>4692</v>
      </c>
      <c r="B187" t="s">
        <v>64</v>
      </c>
      <c r="D187" s="82">
        <f>'Monthy Income Statements'!O80</f>
        <v>12791.52</v>
      </c>
    </row>
    <row r="188" spans="1:6">
      <c r="A188">
        <v>4694</v>
      </c>
      <c r="B188" t="s">
        <v>65</v>
      </c>
      <c r="D188" s="82">
        <f>'Monthy Income Statements'!O81</f>
        <v>0</v>
      </c>
    </row>
    <row r="189" spans="1:6">
      <c r="A189">
        <v>4698</v>
      </c>
      <c r="B189" t="s">
        <v>66</v>
      </c>
      <c r="D189" s="82">
        <f>'Monthy Income Statements'!O82</f>
        <v>849.97</v>
      </c>
    </row>
    <row r="190" spans="1:6">
      <c r="A190" t="s">
        <v>19</v>
      </c>
      <c r="D190" s="6"/>
    </row>
    <row r="191" spans="1:6">
      <c r="A191">
        <v>5010</v>
      </c>
      <c r="B191" t="s">
        <v>67</v>
      </c>
      <c r="C191" s="648">
        <f>+'Results of Operations Staff '!F85</f>
        <v>268839</v>
      </c>
      <c r="D191" s="648">
        <v>268839</v>
      </c>
      <c r="E191" s="772">
        <v>257926</v>
      </c>
      <c r="F191" s="6">
        <f>+E191-D191</f>
        <v>-10913</v>
      </c>
    </row>
    <row r="192" spans="1:6">
      <c r="A192">
        <v>5100</v>
      </c>
      <c r="B192" t="s">
        <v>68</v>
      </c>
      <c r="C192" s="648">
        <f>+'Results of Operations Staff '!F86</f>
        <v>-5714</v>
      </c>
      <c r="D192" s="648">
        <v>-5714</v>
      </c>
      <c r="E192" s="6">
        <f>+'Results of Operations Staff '!C86</f>
        <v>0</v>
      </c>
      <c r="F192" s="6">
        <f>+E192-D192</f>
        <v>5714</v>
      </c>
    </row>
    <row r="193" spans="1:9">
      <c r="A193" t="s">
        <v>20</v>
      </c>
      <c r="D193" s="6"/>
    </row>
    <row r="194" spans="1:9">
      <c r="A194">
        <v>5151</v>
      </c>
      <c r="B194" t="s">
        <v>69</v>
      </c>
      <c r="D194" s="82">
        <f>'Monthy Income Statements'!O87</f>
        <v>0</v>
      </c>
    </row>
    <row r="195" spans="1:9">
      <c r="A195" t="s">
        <v>21</v>
      </c>
      <c r="D195" s="6"/>
    </row>
    <row r="196" spans="1:9">
      <c r="A196">
        <v>5220</v>
      </c>
      <c r="B196" t="s">
        <v>70</v>
      </c>
      <c r="D196" s="82">
        <f>'Monthy Income Statements'!O89</f>
        <v>5676.75</v>
      </c>
    </row>
    <row r="197" spans="1:9">
      <c r="A197">
        <v>5230</v>
      </c>
      <c r="B197" t="s">
        <v>71</v>
      </c>
      <c r="D197" s="82">
        <f>'Monthy Income Statements'!O90</f>
        <v>2394.9899999999998</v>
      </c>
    </row>
    <row r="198" spans="1:9">
      <c r="A198">
        <v>5240</v>
      </c>
      <c r="B198" t="s">
        <v>72</v>
      </c>
      <c r="D198" s="82">
        <f>'Monthy Income Statements'!O91</f>
        <v>55882.060000000005</v>
      </c>
      <c r="I198" s="71"/>
    </row>
    <row r="199" spans="1:9">
      <c r="A199">
        <v>5241</v>
      </c>
      <c r="B199" t="s">
        <v>73</v>
      </c>
      <c r="D199" s="82">
        <f>'Monthy Income Statements'!O92</f>
        <v>678.04000000000008</v>
      </c>
    </row>
    <row r="200" spans="1:9">
      <c r="A200">
        <v>5242</v>
      </c>
      <c r="B200" t="s">
        <v>74</v>
      </c>
      <c r="D200" s="82">
        <f>'Monthy Income Statements'!O93</f>
        <v>5208.82</v>
      </c>
    </row>
    <row r="201" spans="1:9">
      <c r="A201">
        <v>5260</v>
      </c>
      <c r="B201" t="s">
        <v>75</v>
      </c>
      <c r="D201" s="82">
        <f>'Monthy Income Statements'!O94</f>
        <v>55794.270000000004</v>
      </c>
    </row>
    <row r="202" spans="1:9">
      <c r="A202">
        <v>5270</v>
      </c>
      <c r="B202" t="s">
        <v>76</v>
      </c>
      <c r="D202" s="82">
        <f>'Monthy Income Statements'!O95</f>
        <v>7990.68</v>
      </c>
    </row>
    <row r="203" spans="1:9">
      <c r="A203">
        <v>5290</v>
      </c>
      <c r="B203" t="s">
        <v>77</v>
      </c>
      <c r="D203" s="82">
        <f>'Monthy Income Statements'!O96</f>
        <v>233.63</v>
      </c>
    </row>
    <row r="204" spans="1:9">
      <c r="A204" t="s">
        <v>22</v>
      </c>
      <c r="D204" s="6"/>
    </row>
    <row r="205" spans="1:9">
      <c r="A205">
        <v>5320</v>
      </c>
      <c r="B205" t="s">
        <v>78</v>
      </c>
      <c r="D205" s="82">
        <f>'Monthy Income Statements'!O98</f>
        <v>88512</v>
      </c>
    </row>
    <row r="206" spans="1:9" ht="13.5" thickBot="1">
      <c r="A206">
        <v>5320</v>
      </c>
      <c r="B206" t="s">
        <v>370</v>
      </c>
      <c r="D206" s="7">
        <f>'Monthy Income Statements'!O99</f>
        <v>28800</v>
      </c>
    </row>
    <row r="207" spans="1:9">
      <c r="D207" s="6"/>
    </row>
    <row r="208" spans="1:9" ht="13.5" thickBot="1">
      <c r="B208" t="s">
        <v>23</v>
      </c>
      <c r="D208" s="7">
        <f>SUM(D131:D206)</f>
        <v>2890317.0920000006</v>
      </c>
      <c r="F208" s="7">
        <f>SUM(F131:F206)</f>
        <v>-5199</v>
      </c>
      <c r="H208" s="2"/>
    </row>
    <row r="209" spans="1:9">
      <c r="D209" s="6"/>
      <c r="H209" s="2" t="s">
        <v>84</v>
      </c>
    </row>
    <row r="210" spans="1:9" ht="13.5" thickBot="1">
      <c r="B210" t="s">
        <v>24</v>
      </c>
      <c r="D210" s="7">
        <f>+D127-D208</f>
        <v>262359.30899999943</v>
      </c>
      <c r="F210" s="6">
        <f>+F127-F208</f>
        <v>5199</v>
      </c>
      <c r="H210" s="8">
        <f>+D210+F210</f>
        <v>267558.30899999943</v>
      </c>
      <c r="I210" s="70" t="str">
        <f>IF(ROUND(H210,2)=ROUND('Results of Operations Staff '!C104,2),"OK","err")</f>
        <v>OK</v>
      </c>
    </row>
    <row r="211" spans="1:9">
      <c r="D211" s="6"/>
    </row>
    <row r="212" spans="1:9">
      <c r="A212" t="s">
        <v>25</v>
      </c>
      <c r="D212" s="6"/>
    </row>
    <row r="213" spans="1:9">
      <c r="A213">
        <v>6110</v>
      </c>
      <c r="B213" s="643" t="s">
        <v>1431</v>
      </c>
      <c r="D213" s="82">
        <v>0</v>
      </c>
      <c r="E213" s="631"/>
      <c r="F213" s="6">
        <f>-D213+E213</f>
        <v>0</v>
      </c>
    </row>
    <row r="214" spans="1:9">
      <c r="A214">
        <v>6200</v>
      </c>
      <c r="B214" t="s">
        <v>79</v>
      </c>
      <c r="D214" s="82">
        <f>'Monthy Income Statements'!O107</f>
        <v>0</v>
      </c>
      <c r="E214" s="6"/>
      <c r="F214" s="6"/>
    </row>
    <row r="215" spans="1:9">
      <c r="A215">
        <v>6455</v>
      </c>
      <c r="B215" t="s">
        <v>385</v>
      </c>
      <c r="D215" s="82">
        <v>-3598</v>
      </c>
      <c r="E215" s="6">
        <v>-3926</v>
      </c>
      <c r="F215" s="6">
        <f>+E215-D215</f>
        <v>-328</v>
      </c>
    </row>
    <row r="216" spans="1:9">
      <c r="A216">
        <v>6512</v>
      </c>
      <c r="B216" t="s">
        <v>80</v>
      </c>
      <c r="D216" s="82">
        <f>'Monthy Income Statements'!O109</f>
        <v>3974.2500000000005</v>
      </c>
      <c r="F216" s="6"/>
    </row>
    <row r="217" spans="1:9">
      <c r="A217">
        <v>6514</v>
      </c>
      <c r="B217" t="s">
        <v>81</v>
      </c>
      <c r="D217" s="82">
        <f>'Monthy Income Statements'!O110</f>
        <v>0</v>
      </c>
      <c r="F217" s="6"/>
    </row>
    <row r="218" spans="1:9">
      <c r="A218">
        <v>7110</v>
      </c>
      <c r="B218" t="s">
        <v>82</v>
      </c>
      <c r="D218" s="82">
        <f>'Monthy Income Statements'!O111</f>
        <v>-11977.55</v>
      </c>
      <c r="F218" s="6"/>
    </row>
    <row r="219" spans="1:9" ht="13.5" thickBot="1">
      <c r="A219">
        <v>6120</v>
      </c>
      <c r="B219" t="s">
        <v>83</v>
      </c>
      <c r="D219" s="7">
        <f>'Monthy Income Statements'!O112</f>
        <v>5294</v>
      </c>
      <c r="E219" s="84"/>
      <c r="F219" s="85"/>
      <c r="H219" s="76"/>
    </row>
    <row r="220" spans="1:9">
      <c r="D220" s="6"/>
    </row>
    <row r="221" spans="1:9" ht="13.5" thickBot="1">
      <c r="B221" t="s">
        <v>26</v>
      </c>
      <c r="D221" s="7">
        <f>SUM(D213:D219)</f>
        <v>-6307.2999999999993</v>
      </c>
      <c r="F221" s="7">
        <f>SUM(F213:F219)</f>
        <v>-328</v>
      </c>
    </row>
    <row r="222" spans="1:9">
      <c r="D222" s="6"/>
      <c r="F222" s="6"/>
    </row>
    <row r="223" spans="1:9" ht="13.5" thickBot="1">
      <c r="B223" t="s">
        <v>27</v>
      </c>
      <c r="D223" s="7">
        <f>+D210+D221</f>
        <v>256052.00899999944</v>
      </c>
      <c r="F223" s="7">
        <f>+F210+F221</f>
        <v>4871</v>
      </c>
      <c r="H223" s="8">
        <f>+D223+F223</f>
        <v>260923.00899999944</v>
      </c>
    </row>
    <row r="224" spans="1:9">
      <c r="D224" s="6"/>
      <c r="F224" s="6"/>
    </row>
    <row r="225" spans="2:8" ht="13.5" thickBot="1">
      <c r="B225" t="s">
        <v>28</v>
      </c>
      <c r="D225" s="8">
        <f>+D223</f>
        <v>256052.00899999944</v>
      </c>
      <c r="F225" s="8">
        <f>+F223</f>
        <v>4871</v>
      </c>
      <c r="H225" s="8">
        <f>+D225+F225</f>
        <v>260923.00899999944</v>
      </c>
    </row>
    <row r="226" spans="2:8" ht="13.5" thickTop="1">
      <c r="D226" s="6"/>
    </row>
    <row r="227" spans="2:8">
      <c r="D227" s="6"/>
    </row>
    <row r="228" spans="2:8">
      <c r="D228" s="6"/>
    </row>
    <row r="229" spans="2:8">
      <c r="D229" s="6"/>
    </row>
    <row r="230" spans="2:8">
      <c r="D230" s="6"/>
    </row>
  </sheetData>
  <phoneticPr fontId="0" type="noConversion"/>
  <pageMargins left="0.75" right="0.75" top="1" bottom="1" header="0.5" footer="0.5"/>
  <pageSetup scale="73" fitToHeight="3" orientation="portrait" r:id="rId1"/>
  <headerFooter alignWithMargins="0"/>
  <rowBreaks count="2" manualBreakCount="2">
    <brk id="53" max="11" man="1"/>
    <brk id="112" max="8" man="1"/>
  </row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4"/>
  <sheetViews>
    <sheetView topLeftCell="A85" workbookViewId="0">
      <selection activeCell="O60" sqref="O60"/>
    </sheetView>
  </sheetViews>
  <sheetFormatPr defaultRowHeight="12.75"/>
  <cols>
    <col min="1" max="1" width="5.5703125" customWidth="1"/>
    <col min="2" max="2" width="28" customWidth="1"/>
    <col min="3" max="13" width="11.7109375" customWidth="1"/>
    <col min="14" max="14" width="12.28515625" customWidth="1"/>
    <col min="15" max="15" width="12.5703125" customWidth="1"/>
  </cols>
  <sheetData>
    <row r="1" spans="1:20">
      <c r="A1" t="s">
        <v>0</v>
      </c>
    </row>
    <row r="3" spans="1:20">
      <c r="A3" t="s">
        <v>1</v>
      </c>
      <c r="D3" s="643" t="s">
        <v>1342</v>
      </c>
      <c r="E3" s="643" t="s">
        <v>689</v>
      </c>
    </row>
    <row r="5" spans="1:20">
      <c r="A5" t="s">
        <v>1436</v>
      </c>
      <c r="Q5" s="18"/>
      <c r="R5" s="18"/>
      <c r="S5" s="18"/>
      <c r="T5" s="18"/>
    </row>
    <row r="6" spans="1:20">
      <c r="Q6" s="18"/>
      <c r="R6" s="18"/>
      <c r="S6" s="18"/>
      <c r="T6" s="18"/>
    </row>
    <row r="7" spans="1:20" ht="13.5" thickBot="1">
      <c r="C7" s="3">
        <v>44500</v>
      </c>
      <c r="D7" s="3">
        <v>44530</v>
      </c>
      <c r="E7" s="3">
        <v>44561</v>
      </c>
      <c r="F7" s="3">
        <v>44592</v>
      </c>
      <c r="G7" s="3">
        <v>44620</v>
      </c>
      <c r="H7" s="3">
        <v>44651</v>
      </c>
      <c r="I7" s="3">
        <v>44681</v>
      </c>
      <c r="J7" s="3">
        <v>44712</v>
      </c>
      <c r="K7" s="3">
        <v>44742</v>
      </c>
      <c r="L7" s="3">
        <v>44773</v>
      </c>
      <c r="M7" s="3">
        <v>44804</v>
      </c>
      <c r="N7" s="3">
        <v>44834</v>
      </c>
      <c r="O7" s="4" t="s">
        <v>2</v>
      </c>
      <c r="Q7" s="714"/>
      <c r="R7" s="714"/>
      <c r="S7" s="714"/>
      <c r="T7" s="18"/>
    </row>
    <row r="8" spans="1:20" ht="13.5" thickTop="1">
      <c r="Q8" s="18"/>
      <c r="R8" s="18"/>
      <c r="S8" s="18"/>
      <c r="T8" s="18"/>
    </row>
    <row r="9" spans="1:20">
      <c r="A9" t="s">
        <v>3</v>
      </c>
      <c r="Q9" s="18"/>
      <c r="R9" s="18"/>
      <c r="S9" s="18"/>
      <c r="T9" s="18"/>
    </row>
    <row r="10" spans="1:20">
      <c r="A10">
        <v>3100</v>
      </c>
      <c r="B10" t="s">
        <v>5</v>
      </c>
      <c r="C10" s="6">
        <v>185559.69</v>
      </c>
      <c r="D10" s="6">
        <v>165388.23000000001</v>
      </c>
      <c r="E10" s="6">
        <v>137821.29</v>
      </c>
      <c r="F10" s="6">
        <v>130405.63</v>
      </c>
      <c r="G10" s="6">
        <v>117458.9</v>
      </c>
      <c r="H10" s="6">
        <v>136053.63</v>
      </c>
      <c r="I10" s="6">
        <v>147714.1</v>
      </c>
      <c r="J10" s="6">
        <v>175070.84</v>
      </c>
      <c r="K10" s="6">
        <v>191964.47</v>
      </c>
      <c r="L10" s="6">
        <v>207918.23</v>
      </c>
      <c r="M10" s="6">
        <v>221855.56</v>
      </c>
      <c r="N10" s="6">
        <v>204188.6</v>
      </c>
      <c r="O10" s="6">
        <f t="shared" ref="O10:O18" si="0">SUM(C10:N10)</f>
        <v>2021399.1700000002</v>
      </c>
      <c r="Q10" s="82"/>
      <c r="R10" s="82"/>
      <c r="S10" s="82"/>
      <c r="T10" s="18"/>
    </row>
    <row r="11" spans="1:20">
      <c r="A11">
        <v>3112</v>
      </c>
      <c r="B11" t="s">
        <v>6</v>
      </c>
      <c r="C11" s="6">
        <v>22421.32</v>
      </c>
      <c r="D11" s="87">
        <v>23700.3</v>
      </c>
      <c r="E11" s="6">
        <v>27859.32</v>
      </c>
      <c r="F11" s="6">
        <v>19723.150000000001</v>
      </c>
      <c r="G11" s="6">
        <v>22895.47</v>
      </c>
      <c r="H11" s="6">
        <v>26869.17</v>
      </c>
      <c r="I11" s="6">
        <v>20321.78</v>
      </c>
      <c r="J11" s="6">
        <v>23605.96</v>
      </c>
      <c r="K11" s="6">
        <v>26769.73</v>
      </c>
      <c r="L11" s="6">
        <v>23864.05</v>
      </c>
      <c r="M11" s="87">
        <v>20861.939999999999</v>
      </c>
      <c r="N11" s="6">
        <v>22363.19</v>
      </c>
      <c r="O11" s="6">
        <f t="shared" si="0"/>
        <v>281255.37999999995</v>
      </c>
      <c r="Q11" s="82"/>
      <c r="R11" s="715"/>
      <c r="S11" s="82"/>
      <c r="T11" s="18"/>
    </row>
    <row r="12" spans="1:20">
      <c r="A12">
        <v>3114</v>
      </c>
      <c r="B12" t="s">
        <v>7</v>
      </c>
      <c r="C12" s="6">
        <v>10636.68</v>
      </c>
      <c r="D12" s="6">
        <v>10643.96</v>
      </c>
      <c r="E12" s="6">
        <v>10489.24</v>
      </c>
      <c r="F12" s="6">
        <v>10499.45</v>
      </c>
      <c r="G12" s="6">
        <v>9522.75</v>
      </c>
      <c r="H12" s="6">
        <v>9490.7000000000007</v>
      </c>
      <c r="I12" s="6">
        <v>9486.7000000000007</v>
      </c>
      <c r="J12" s="6">
        <v>8898.7900000000009</v>
      </c>
      <c r="K12" s="6">
        <v>8989.1299999999992</v>
      </c>
      <c r="L12" s="6">
        <v>10382.66</v>
      </c>
      <c r="M12" s="6">
        <v>10269.67</v>
      </c>
      <c r="N12" s="6">
        <v>10258.9</v>
      </c>
      <c r="O12" s="6">
        <f t="shared" si="0"/>
        <v>119568.62999999999</v>
      </c>
      <c r="Q12" s="82"/>
      <c r="R12" s="82"/>
      <c r="S12" s="82"/>
      <c r="T12" s="18"/>
    </row>
    <row r="13" spans="1:20">
      <c r="A13">
        <v>3300</v>
      </c>
      <c r="B13" t="s">
        <v>8</v>
      </c>
      <c r="C13" s="6">
        <v>20536.22</v>
      </c>
      <c r="D13" s="6">
        <v>22146.81</v>
      </c>
      <c r="E13" s="6">
        <v>18891.599999999999</v>
      </c>
      <c r="F13" s="6">
        <v>15814.97</v>
      </c>
      <c r="G13" s="6">
        <v>15260.85</v>
      </c>
      <c r="H13" s="6">
        <v>21594.071</v>
      </c>
      <c r="I13" s="6">
        <v>18274.62</v>
      </c>
      <c r="J13" s="6">
        <v>20901.759999999998</v>
      </c>
      <c r="K13" s="6">
        <v>18018.46</v>
      </c>
      <c r="L13" s="6">
        <v>20829.16</v>
      </c>
      <c r="M13" s="6">
        <v>23746.38</v>
      </c>
      <c r="N13" s="6">
        <v>25093.5</v>
      </c>
      <c r="O13" s="6">
        <f t="shared" si="0"/>
        <v>241108.40100000001</v>
      </c>
      <c r="Q13" s="82"/>
      <c r="R13" s="82"/>
      <c r="S13" s="82"/>
      <c r="T13" s="18"/>
    </row>
    <row r="14" spans="1:20">
      <c r="A14">
        <v>3310</v>
      </c>
      <c r="B14" t="s">
        <v>9</v>
      </c>
      <c r="C14" s="6">
        <v>26889.439999999999</v>
      </c>
      <c r="D14" s="6">
        <v>32058.65</v>
      </c>
      <c r="E14" s="6">
        <v>25917.53</v>
      </c>
      <c r="F14" s="6">
        <v>23632.07</v>
      </c>
      <c r="G14" s="6">
        <v>21156.06</v>
      </c>
      <c r="H14" s="6">
        <v>35255.06</v>
      </c>
      <c r="I14" s="6">
        <v>24430.66</v>
      </c>
      <c r="J14" s="6">
        <v>31797.59</v>
      </c>
      <c r="K14" s="6">
        <v>24260.58</v>
      </c>
      <c r="L14" s="6">
        <v>31767.13</v>
      </c>
      <c r="M14" s="6">
        <v>37410.04</v>
      </c>
      <c r="N14" s="6">
        <v>50337.66</v>
      </c>
      <c r="O14" s="6">
        <f t="shared" si="0"/>
        <v>364912.47</v>
      </c>
      <c r="Q14" s="82"/>
      <c r="R14" s="82"/>
      <c r="S14" s="82"/>
      <c r="T14" s="18"/>
    </row>
    <row r="15" spans="1:20">
      <c r="A15">
        <v>3410</v>
      </c>
      <c r="B15" t="s">
        <v>327</v>
      </c>
      <c r="C15" s="6">
        <v>6385.31</v>
      </c>
      <c r="D15" s="6">
        <v>6217.19</v>
      </c>
      <c r="E15" s="6">
        <v>6177.87</v>
      </c>
      <c r="F15" s="6">
        <v>6084.02</v>
      </c>
      <c r="G15" s="6">
        <v>5921.13</v>
      </c>
      <c r="H15" s="6">
        <v>5780.6</v>
      </c>
      <c r="I15" s="6">
        <v>6183.35</v>
      </c>
      <c r="J15" s="6">
        <v>6445.3</v>
      </c>
      <c r="K15" s="6">
        <v>6785.82</v>
      </c>
      <c r="L15" s="6">
        <v>7018.37</v>
      </c>
      <c r="M15" s="6">
        <v>7070.75</v>
      </c>
      <c r="N15" s="6">
        <v>6971.44</v>
      </c>
      <c r="O15" s="6">
        <f>SUM(C15:N15)</f>
        <v>77041.150000000009</v>
      </c>
      <c r="Q15" s="82"/>
      <c r="R15" s="82"/>
      <c r="S15" s="82"/>
      <c r="T15" s="18"/>
    </row>
    <row r="16" spans="1:20">
      <c r="A16">
        <v>3450</v>
      </c>
      <c r="B16" t="s">
        <v>328</v>
      </c>
      <c r="C16" s="6">
        <v>3619</v>
      </c>
      <c r="D16" s="6">
        <v>2542</v>
      </c>
      <c r="E16" s="6">
        <v>8704.2000000000007</v>
      </c>
      <c r="F16" s="6">
        <v>1902</v>
      </c>
      <c r="G16" s="6">
        <v>2632</v>
      </c>
      <c r="H16" s="6">
        <v>2451</v>
      </c>
      <c r="I16" s="6">
        <v>3623</v>
      </c>
      <c r="J16" s="6">
        <v>3067</v>
      </c>
      <c r="K16" s="6">
        <v>3440</v>
      </c>
      <c r="L16" s="6">
        <v>4498</v>
      </c>
      <c r="M16" s="6">
        <v>6839</v>
      </c>
      <c r="N16" s="6">
        <v>4074</v>
      </c>
      <c r="O16" s="6">
        <f>SUM(C16:N16)</f>
        <v>47391.199999999997</v>
      </c>
      <c r="Q16" s="82"/>
      <c r="R16" s="82"/>
      <c r="S16" s="82"/>
      <c r="T16" s="18"/>
    </row>
    <row r="17" spans="1:20">
      <c r="A17">
        <v>3460</v>
      </c>
      <c r="B17" t="s">
        <v>10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>
        <f t="shared" si="0"/>
        <v>0</v>
      </c>
      <c r="Q17" s="82"/>
      <c r="R17" s="82"/>
      <c r="S17" s="82"/>
      <c r="T17" s="18"/>
    </row>
    <row r="18" spans="1:20" ht="13.5" thickBot="1">
      <c r="A18">
        <v>3500</v>
      </c>
      <c r="B18" t="s">
        <v>11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>
        <f t="shared" si="0"/>
        <v>0</v>
      </c>
      <c r="Q18" s="82"/>
      <c r="R18" s="82"/>
      <c r="S18" s="82"/>
      <c r="T18" s="18"/>
    </row>
    <row r="19" spans="1:20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Q19" s="82"/>
      <c r="R19" s="82"/>
      <c r="S19" s="82"/>
      <c r="T19" s="18"/>
    </row>
    <row r="20" spans="1:20" ht="13.5" thickBot="1">
      <c r="B20" t="s">
        <v>4</v>
      </c>
      <c r="C20" s="7">
        <f t="shared" ref="C20:E20" si="1">SUM(C10:C18)</f>
        <v>276047.65999999997</v>
      </c>
      <c r="D20" s="7">
        <f t="shared" si="1"/>
        <v>262697.14</v>
      </c>
      <c r="E20" s="7">
        <f t="shared" si="1"/>
        <v>235861.05000000002</v>
      </c>
      <c r="F20" s="7">
        <f t="shared" ref="F20:O20" si="2">SUM(F10:F18)</f>
        <v>208061.29</v>
      </c>
      <c r="G20" s="7">
        <f t="shared" si="2"/>
        <v>194847.16</v>
      </c>
      <c r="H20" s="7">
        <f t="shared" si="2"/>
        <v>237494.231</v>
      </c>
      <c r="I20" s="7">
        <f t="shared" si="2"/>
        <v>230034.21000000002</v>
      </c>
      <c r="J20" s="7">
        <f t="shared" si="2"/>
        <v>269787.24</v>
      </c>
      <c r="K20" s="7">
        <f t="shared" si="2"/>
        <v>280228.19</v>
      </c>
      <c r="L20" s="7">
        <f t="shared" si="2"/>
        <v>306277.59999999998</v>
      </c>
      <c r="M20" s="7">
        <f t="shared" si="2"/>
        <v>328053.33999999997</v>
      </c>
      <c r="N20" s="7">
        <f t="shared" si="2"/>
        <v>323287.28999999998</v>
      </c>
      <c r="O20" s="7">
        <f t="shared" si="2"/>
        <v>3152676.4010000001</v>
      </c>
      <c r="Q20" s="82"/>
      <c r="R20" s="82"/>
      <c r="S20" s="82"/>
      <c r="T20" s="18"/>
    </row>
    <row r="21" spans="1:20"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Q21" s="82"/>
      <c r="R21" s="82"/>
      <c r="S21" s="82"/>
      <c r="T21" s="18"/>
    </row>
    <row r="22" spans="1:20">
      <c r="A22" t="s">
        <v>12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Q22" s="82"/>
      <c r="R22" s="82"/>
      <c r="S22" s="82"/>
      <c r="T22" s="18"/>
    </row>
    <row r="23" spans="1:20">
      <c r="A23" t="s">
        <v>13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Q23" s="82"/>
      <c r="R23" s="82"/>
      <c r="S23" s="82"/>
      <c r="T23" s="18"/>
    </row>
    <row r="24" spans="1:20">
      <c r="A24">
        <v>4116</v>
      </c>
      <c r="B24" t="s">
        <v>29</v>
      </c>
      <c r="C24" s="6">
        <v>6202.3580000000002</v>
      </c>
      <c r="D24" s="6">
        <v>4064.41</v>
      </c>
      <c r="E24" s="6">
        <v>7188.27</v>
      </c>
      <c r="F24" s="6">
        <v>6065.25</v>
      </c>
      <c r="G24" s="6">
        <v>7438</v>
      </c>
      <c r="H24" s="6">
        <v>9040.11</v>
      </c>
      <c r="I24" s="6">
        <v>13012.25</v>
      </c>
      <c r="J24" s="6">
        <v>9969.25</v>
      </c>
      <c r="K24" s="6">
        <v>9841.25</v>
      </c>
      <c r="L24" s="6">
        <v>7993.5</v>
      </c>
      <c r="M24" s="6">
        <v>9578.5</v>
      </c>
      <c r="N24" s="6">
        <v>9307.25</v>
      </c>
      <c r="O24" s="6">
        <f t="shared" ref="O24:O53" si="3">SUM(C24:N24)</f>
        <v>99700.398000000001</v>
      </c>
      <c r="Q24" s="82"/>
      <c r="R24" s="82"/>
      <c r="S24" s="82"/>
      <c r="T24" s="18"/>
    </row>
    <row r="25" spans="1:20">
      <c r="A25">
        <v>4117</v>
      </c>
      <c r="B25" t="s">
        <v>277</v>
      </c>
      <c r="C25" s="6"/>
      <c r="D25" s="6">
        <v>183.75</v>
      </c>
      <c r="E25" s="6">
        <v>188.5</v>
      </c>
      <c r="F25" s="6">
        <v>0</v>
      </c>
      <c r="G25" s="6">
        <v>134.5</v>
      </c>
      <c r="H25" s="6">
        <v>80</v>
      </c>
      <c r="I25" s="6">
        <v>205</v>
      </c>
      <c r="J25" s="6">
        <v>402.5</v>
      </c>
      <c r="K25" s="6">
        <v>826.5</v>
      </c>
      <c r="L25" s="6">
        <v>1021.5</v>
      </c>
      <c r="M25" s="6">
        <v>125</v>
      </c>
      <c r="N25" s="6">
        <v>387.5</v>
      </c>
      <c r="O25" s="6">
        <f>SUM(C25:N25)</f>
        <v>3554.75</v>
      </c>
      <c r="Q25" s="82"/>
      <c r="R25" s="82"/>
      <c r="S25" s="82"/>
      <c r="T25" s="18"/>
    </row>
    <row r="26" spans="1:20">
      <c r="A26">
        <v>4118</v>
      </c>
      <c r="B26" t="s">
        <v>30</v>
      </c>
      <c r="C26" s="6">
        <v>549</v>
      </c>
      <c r="D26" s="6">
        <v>180</v>
      </c>
      <c r="E26" s="6">
        <v>57</v>
      </c>
      <c r="F26" s="6">
        <v>0</v>
      </c>
      <c r="G26" s="6">
        <v>0</v>
      </c>
      <c r="H26" s="6">
        <v>513.5</v>
      </c>
      <c r="I26" s="6">
        <v>280</v>
      </c>
      <c r="J26" s="6">
        <v>167.5</v>
      </c>
      <c r="K26" s="6">
        <v>280</v>
      </c>
      <c r="L26" s="6">
        <v>30</v>
      </c>
      <c r="M26" s="6">
        <v>703</v>
      </c>
      <c r="N26" s="6">
        <v>329</v>
      </c>
      <c r="O26" s="6">
        <f t="shared" si="3"/>
        <v>3089</v>
      </c>
      <c r="Q26" s="82"/>
      <c r="R26" s="82"/>
      <c r="S26" s="82"/>
      <c r="T26" s="18"/>
    </row>
    <row r="27" spans="1:20">
      <c r="A27">
        <v>4120</v>
      </c>
      <c r="B27" t="s">
        <v>278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>
        <v>140</v>
      </c>
      <c r="O27" s="6">
        <f>SUM(C27:N27)</f>
        <v>140</v>
      </c>
      <c r="Q27" s="82"/>
      <c r="R27" s="82"/>
      <c r="S27" s="82"/>
      <c r="T27" s="18"/>
    </row>
    <row r="28" spans="1:20">
      <c r="A28">
        <v>4122</v>
      </c>
      <c r="B28" t="s">
        <v>329</v>
      </c>
      <c r="C28" s="6">
        <v>223</v>
      </c>
      <c r="D28" s="6">
        <v>488</v>
      </c>
      <c r="E28" s="6">
        <v>518.5</v>
      </c>
      <c r="F28" s="6">
        <v>211.5</v>
      </c>
      <c r="G28" s="6">
        <v>237.5</v>
      </c>
      <c r="H28" s="6">
        <v>417</v>
      </c>
      <c r="I28" s="6">
        <v>410</v>
      </c>
      <c r="J28" s="6">
        <v>450</v>
      </c>
      <c r="K28" s="6">
        <v>297.5</v>
      </c>
      <c r="L28" s="6">
        <v>432</v>
      </c>
      <c r="M28" s="6">
        <v>490</v>
      </c>
      <c r="N28" s="6">
        <v>444.5</v>
      </c>
      <c r="O28" s="6">
        <f>SUM(C28:N28)</f>
        <v>4619.5</v>
      </c>
      <c r="Q28" s="82"/>
      <c r="R28" s="82"/>
      <c r="S28" s="82"/>
      <c r="T28" s="18"/>
    </row>
    <row r="29" spans="1:20">
      <c r="A29">
        <v>4132</v>
      </c>
      <c r="B29" t="s">
        <v>31</v>
      </c>
      <c r="C29" s="6">
        <v>4854.43</v>
      </c>
      <c r="D29" s="6">
        <v>1864.78</v>
      </c>
      <c r="E29" s="6">
        <v>6074.59</v>
      </c>
      <c r="F29" s="6">
        <v>5684.54</v>
      </c>
      <c r="G29" s="6">
        <v>3359.64</v>
      </c>
      <c r="H29" s="6">
        <v>3785.96</v>
      </c>
      <c r="I29" s="6">
        <v>6334.89</v>
      </c>
      <c r="J29" s="6">
        <v>2278.9899999999998</v>
      </c>
      <c r="K29" s="6">
        <v>5756.7</v>
      </c>
      <c r="L29" s="6">
        <v>7874.65</v>
      </c>
      <c r="M29" s="6">
        <v>8479.56</v>
      </c>
      <c r="N29" s="6">
        <v>4231.6899999999996</v>
      </c>
      <c r="O29" s="6">
        <f t="shared" si="3"/>
        <v>60580.42</v>
      </c>
      <c r="Q29" s="82"/>
      <c r="R29" s="82"/>
      <c r="S29" s="82"/>
      <c r="T29" s="18"/>
    </row>
    <row r="30" spans="1:20">
      <c r="A30">
        <v>4133</v>
      </c>
      <c r="B30" t="s">
        <v>279</v>
      </c>
      <c r="C30" s="6">
        <v>1162.18</v>
      </c>
      <c r="D30" s="6"/>
      <c r="E30" s="6"/>
      <c r="F30" s="6"/>
      <c r="G30" s="6"/>
      <c r="H30" s="6">
        <v>1376.27</v>
      </c>
      <c r="I30" s="6"/>
      <c r="J30" s="6"/>
      <c r="K30" s="6">
        <v>753.25</v>
      </c>
      <c r="L30" s="6">
        <v>2090.7199999999998</v>
      </c>
      <c r="M30" s="6"/>
      <c r="N30" s="6"/>
      <c r="O30" s="6">
        <f>SUM(C30:N30)</f>
        <v>5382.42</v>
      </c>
      <c r="Q30" s="82"/>
      <c r="R30" s="82"/>
      <c r="S30" s="82"/>
      <c r="T30" s="18"/>
    </row>
    <row r="31" spans="1:20">
      <c r="A31">
        <v>4134</v>
      </c>
      <c r="B31" t="s">
        <v>32</v>
      </c>
      <c r="C31" s="6"/>
      <c r="D31" s="6"/>
      <c r="E31" s="6">
        <v>649.79999999999995</v>
      </c>
      <c r="F31" s="6"/>
      <c r="G31" s="6">
        <v>435.33</v>
      </c>
      <c r="H31" s="6">
        <v>2225.4699999999998</v>
      </c>
      <c r="I31" s="6">
        <v>176.24</v>
      </c>
      <c r="J31" s="6">
        <v>373.8</v>
      </c>
      <c r="K31" s="6">
        <v>872.52</v>
      </c>
      <c r="L31" s="6"/>
      <c r="M31" s="6"/>
      <c r="N31" s="6"/>
      <c r="O31" s="6">
        <f t="shared" si="3"/>
        <v>4733.16</v>
      </c>
      <c r="Q31" s="82"/>
      <c r="R31" s="82"/>
      <c r="S31" s="82"/>
      <c r="T31" s="18"/>
    </row>
    <row r="32" spans="1:20">
      <c r="A32">
        <v>4136</v>
      </c>
      <c r="B32" t="s">
        <v>280</v>
      </c>
      <c r="C32" s="6">
        <v>140.78</v>
      </c>
      <c r="D32" s="6"/>
      <c r="E32" s="6"/>
      <c r="F32" s="6">
        <v>50.21</v>
      </c>
      <c r="G32" s="6"/>
      <c r="H32" s="6"/>
      <c r="I32" s="6">
        <v>335.73</v>
      </c>
      <c r="J32" s="6"/>
      <c r="K32" s="6"/>
      <c r="L32" s="6"/>
      <c r="M32" s="6"/>
      <c r="N32" s="6"/>
      <c r="O32" s="6">
        <f>SUM(C32:N32)</f>
        <v>526.72</v>
      </c>
      <c r="Q32" s="82"/>
      <c r="R32" s="82"/>
      <c r="S32" s="82"/>
      <c r="T32" s="18"/>
    </row>
    <row r="33" spans="1:20">
      <c r="A33">
        <v>4138</v>
      </c>
      <c r="B33" t="s">
        <v>330</v>
      </c>
      <c r="C33" s="6">
        <v>1908.53</v>
      </c>
      <c r="D33" s="6"/>
      <c r="E33" s="6">
        <v>495.13</v>
      </c>
      <c r="F33" s="6">
        <v>200.33</v>
      </c>
      <c r="G33" s="6"/>
      <c r="H33" s="6"/>
      <c r="I33" s="6"/>
      <c r="J33" s="6"/>
      <c r="K33" s="6"/>
      <c r="L33" s="6"/>
      <c r="M33" s="6"/>
      <c r="N33" s="6"/>
      <c r="O33" s="6">
        <f>SUM(C33:N33)</f>
        <v>2603.9899999999998</v>
      </c>
      <c r="Q33" s="82"/>
      <c r="R33" s="82"/>
      <c r="S33" s="82"/>
      <c r="T33" s="18"/>
    </row>
    <row r="34" spans="1:20">
      <c r="A34">
        <v>4160</v>
      </c>
      <c r="B34" t="s">
        <v>33</v>
      </c>
      <c r="C34" s="6">
        <v>21.66</v>
      </c>
      <c r="D34" s="6">
        <v>576.74</v>
      </c>
      <c r="E34" s="6">
        <v>1939.29</v>
      </c>
      <c r="F34" s="6">
        <v>936.64</v>
      </c>
      <c r="G34" s="6">
        <v>874.87</v>
      </c>
      <c r="H34" s="6">
        <v>29.53</v>
      </c>
      <c r="I34" s="6"/>
      <c r="J34" s="6">
        <v>7834.29</v>
      </c>
      <c r="K34" s="6">
        <v>9590.84</v>
      </c>
      <c r="L34" s="6">
        <v>2569.64</v>
      </c>
      <c r="M34" s="6">
        <v>35.72</v>
      </c>
      <c r="N34" s="6">
        <v>6828.79</v>
      </c>
      <c r="O34" s="6">
        <f t="shared" si="3"/>
        <v>31238.010000000002</v>
      </c>
      <c r="Q34" s="82"/>
      <c r="R34" s="82"/>
      <c r="S34" s="82"/>
      <c r="T34" s="18"/>
    </row>
    <row r="35" spans="1:20">
      <c r="A35">
        <v>4162</v>
      </c>
      <c r="B35" t="s">
        <v>281</v>
      </c>
      <c r="C35" s="6"/>
      <c r="D35" s="6"/>
      <c r="E35" s="6"/>
      <c r="F35" s="6"/>
      <c r="G35" s="6"/>
      <c r="H35" s="6"/>
      <c r="I35" s="6"/>
      <c r="J35" s="6">
        <v>3764.16</v>
      </c>
      <c r="K35" s="6"/>
      <c r="L35" s="6"/>
      <c r="M35" s="6"/>
      <c r="N35" s="6"/>
      <c r="O35" s="6">
        <f>SUM(C35:N35)</f>
        <v>3764.16</v>
      </c>
      <c r="Q35" s="82"/>
      <c r="R35" s="82"/>
      <c r="S35" s="82"/>
      <c r="T35" s="18"/>
    </row>
    <row r="36" spans="1:20">
      <c r="A36">
        <v>4164</v>
      </c>
      <c r="B36" t="s">
        <v>1275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f>SUM(C36:N36)</f>
        <v>0</v>
      </c>
      <c r="Q36" s="82"/>
      <c r="R36" s="82"/>
      <c r="S36" s="82"/>
      <c r="T36" s="18"/>
    </row>
    <row r="37" spans="1:20">
      <c r="A37">
        <v>4180</v>
      </c>
      <c r="B37" t="s">
        <v>34</v>
      </c>
      <c r="C37" s="6">
        <v>2160.61</v>
      </c>
      <c r="D37" s="6">
        <v>1283.78</v>
      </c>
      <c r="E37" s="6">
        <v>902.12</v>
      </c>
      <c r="F37" s="6">
        <v>2173.67</v>
      </c>
      <c r="G37" s="6">
        <v>624.29999999999995</v>
      </c>
      <c r="H37" s="6">
        <v>1197.654</v>
      </c>
      <c r="I37" s="6">
        <v>1771.25</v>
      </c>
      <c r="J37" s="6">
        <v>6619.19</v>
      </c>
      <c r="K37" s="6">
        <v>2288.1999999999998</v>
      </c>
      <c r="L37" s="6">
        <v>846.3</v>
      </c>
      <c r="M37" s="6">
        <v>649.79999999999995</v>
      </c>
      <c r="N37" s="6">
        <v>767.06</v>
      </c>
      <c r="O37" s="6">
        <f t="shared" si="3"/>
        <v>21283.934000000001</v>
      </c>
      <c r="Q37" s="82"/>
      <c r="R37" s="82"/>
      <c r="S37" s="82"/>
      <c r="T37" s="18"/>
    </row>
    <row r="38" spans="1:20">
      <c r="A38" t="s">
        <v>16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Q38" s="82"/>
      <c r="R38" s="82"/>
      <c r="S38" s="82"/>
      <c r="T38" s="18"/>
    </row>
    <row r="39" spans="1:20">
      <c r="A39">
        <v>4210</v>
      </c>
      <c r="B39" t="s">
        <v>35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f t="shared" si="3"/>
        <v>0</v>
      </c>
      <c r="Q39" s="82"/>
      <c r="R39" s="82"/>
      <c r="S39" s="82"/>
      <c r="T39" s="18"/>
    </row>
    <row r="40" spans="1:20">
      <c r="A40">
        <v>4213</v>
      </c>
      <c r="B40" t="s">
        <v>36</v>
      </c>
      <c r="C40" s="6">
        <v>24362.84</v>
      </c>
      <c r="D40" s="6">
        <v>22880.85</v>
      </c>
      <c r="E40" s="6">
        <v>39009.32</v>
      </c>
      <c r="F40" s="6">
        <v>28813.759999999998</v>
      </c>
      <c r="G40" s="6">
        <v>23662.25</v>
      </c>
      <c r="H40" s="6">
        <v>26554.51</v>
      </c>
      <c r="I40" s="6">
        <v>31011.14</v>
      </c>
      <c r="J40" s="6">
        <v>23804.13</v>
      </c>
      <c r="K40" s="6">
        <v>23366</v>
      </c>
      <c r="L40" s="6">
        <v>29243.01</v>
      </c>
      <c r="M40" s="6">
        <v>31474.75</v>
      </c>
      <c r="N40" s="6">
        <v>28107.38</v>
      </c>
      <c r="O40" s="6">
        <f t="shared" si="3"/>
        <v>332289.94000000006</v>
      </c>
      <c r="Q40" s="82"/>
      <c r="R40" s="82"/>
      <c r="S40" s="82"/>
      <c r="T40" s="18"/>
    </row>
    <row r="41" spans="1:20">
      <c r="A41">
        <v>4215</v>
      </c>
      <c r="B41" t="s">
        <v>37</v>
      </c>
      <c r="C41" s="6">
        <v>4253.25</v>
      </c>
      <c r="D41" s="6">
        <v>3648</v>
      </c>
      <c r="E41" s="6">
        <v>4064</v>
      </c>
      <c r="F41" s="6">
        <v>2263.5</v>
      </c>
      <c r="G41" s="6">
        <v>2180</v>
      </c>
      <c r="H41" s="6">
        <v>2925.5</v>
      </c>
      <c r="I41" s="6">
        <v>5913</v>
      </c>
      <c r="J41" s="6">
        <v>3572.5</v>
      </c>
      <c r="K41" s="6">
        <v>3119.75</v>
      </c>
      <c r="L41" s="6">
        <v>3886.75</v>
      </c>
      <c r="M41" s="6">
        <v>3156</v>
      </c>
      <c r="N41" s="6">
        <v>3076.25</v>
      </c>
      <c r="O41" s="6">
        <f t="shared" si="3"/>
        <v>42058.5</v>
      </c>
      <c r="Q41" s="82"/>
      <c r="R41" s="82"/>
      <c r="S41" s="82"/>
      <c r="T41" s="18"/>
    </row>
    <row r="42" spans="1:20">
      <c r="A42">
        <v>4217</v>
      </c>
      <c r="B42" t="s">
        <v>283</v>
      </c>
      <c r="C42" s="6">
        <v>945</v>
      </c>
      <c r="D42" s="6">
        <v>747</v>
      </c>
      <c r="E42" s="6">
        <v>541.5</v>
      </c>
      <c r="F42" s="6">
        <v>218.5</v>
      </c>
      <c r="G42" s="6">
        <v>190</v>
      </c>
      <c r="H42" s="6">
        <v>534</v>
      </c>
      <c r="I42" s="6">
        <v>1542.5</v>
      </c>
      <c r="J42" s="6">
        <v>1450</v>
      </c>
      <c r="K42" s="6">
        <v>850</v>
      </c>
      <c r="L42" s="6">
        <v>850</v>
      </c>
      <c r="M42" s="6">
        <v>735</v>
      </c>
      <c r="N42" s="6">
        <v>595.5</v>
      </c>
      <c r="O42" s="6">
        <f>SUM(C42:N42)</f>
        <v>9199</v>
      </c>
      <c r="Q42" s="82"/>
      <c r="R42" s="82"/>
      <c r="S42" s="82"/>
      <c r="T42" s="18"/>
    </row>
    <row r="43" spans="1:20">
      <c r="A43">
        <v>4222</v>
      </c>
      <c r="B43" t="s">
        <v>331</v>
      </c>
      <c r="C43" s="6">
        <v>1068.3800000000001</v>
      </c>
      <c r="D43" s="6">
        <v>504</v>
      </c>
      <c r="E43" s="6">
        <v>940.5</v>
      </c>
      <c r="F43" s="6">
        <v>532</v>
      </c>
      <c r="G43" s="6">
        <v>731.5</v>
      </c>
      <c r="H43" s="6">
        <v>597.5</v>
      </c>
      <c r="I43" s="6">
        <v>1110</v>
      </c>
      <c r="J43" s="6">
        <v>750</v>
      </c>
      <c r="K43" s="6">
        <v>780</v>
      </c>
      <c r="L43" s="6">
        <v>800</v>
      </c>
      <c r="M43" s="6">
        <v>798</v>
      </c>
      <c r="N43" s="6">
        <v>798</v>
      </c>
      <c r="O43" s="6">
        <f>SUM(C43:N43)</f>
        <v>9409.880000000001</v>
      </c>
      <c r="Q43" s="82"/>
      <c r="R43" s="82"/>
      <c r="S43" s="82"/>
      <c r="T43" s="18"/>
    </row>
    <row r="44" spans="1:20">
      <c r="A44">
        <v>4240</v>
      </c>
      <c r="B44" t="s">
        <v>38</v>
      </c>
      <c r="C44" s="6">
        <v>6606.22</v>
      </c>
      <c r="D44" s="6">
        <v>6128.92</v>
      </c>
      <c r="E44" s="6">
        <v>6556.22</v>
      </c>
      <c r="F44" s="6">
        <v>6499.22</v>
      </c>
      <c r="G44" s="6">
        <v>5932.95</v>
      </c>
      <c r="H44" s="6">
        <v>11181.09</v>
      </c>
      <c r="I44" s="6">
        <v>9262.34</v>
      </c>
      <c r="J44" s="6">
        <v>8813.0400000000009</v>
      </c>
      <c r="K44" s="6">
        <v>12645.88</v>
      </c>
      <c r="L44" s="6">
        <v>12979.76</v>
      </c>
      <c r="M44" s="6">
        <v>13941.74</v>
      </c>
      <c r="N44" s="6">
        <v>10537.01</v>
      </c>
      <c r="O44" s="6">
        <f t="shared" si="3"/>
        <v>111084.39</v>
      </c>
      <c r="Q44" s="82"/>
      <c r="R44" s="82"/>
      <c r="S44" s="82"/>
      <c r="T44" s="18"/>
    </row>
    <row r="45" spans="1:20">
      <c r="A45">
        <v>4242</v>
      </c>
      <c r="B45" t="s">
        <v>333</v>
      </c>
      <c r="C45" s="6">
        <v>1709.03</v>
      </c>
      <c r="D45" s="6">
        <v>1894.37</v>
      </c>
      <c r="E45" s="6">
        <v>1503.12</v>
      </c>
      <c r="F45" s="6">
        <v>1216.54</v>
      </c>
      <c r="G45" s="6">
        <v>838.96</v>
      </c>
      <c r="H45" s="6">
        <v>2185.3200000000002</v>
      </c>
      <c r="I45" s="6">
        <v>1904.38</v>
      </c>
      <c r="J45" s="6">
        <v>2557.21</v>
      </c>
      <c r="K45" s="6">
        <v>2886.95</v>
      </c>
      <c r="L45" s="6">
        <v>3145.07</v>
      </c>
      <c r="M45" s="6">
        <v>2314.4299999999998</v>
      </c>
      <c r="N45" s="6">
        <v>2621.61</v>
      </c>
      <c r="O45" s="6">
        <f>SUM(C45:N45)</f>
        <v>24776.99</v>
      </c>
      <c r="Q45" s="82"/>
      <c r="R45" s="82"/>
      <c r="S45" s="82"/>
      <c r="T45" s="18"/>
    </row>
    <row r="46" spans="1:20">
      <c r="A46">
        <v>4244</v>
      </c>
      <c r="B46" t="s">
        <v>332</v>
      </c>
      <c r="C46" s="6">
        <v>232.43</v>
      </c>
      <c r="D46" s="6">
        <v>123.15</v>
      </c>
      <c r="E46" s="6">
        <v>133.80000000000001</v>
      </c>
      <c r="F46" s="6">
        <v>261.48</v>
      </c>
      <c r="G46" s="6">
        <v>231.53</v>
      </c>
      <c r="H46" s="6">
        <v>396.55</v>
      </c>
      <c r="I46" s="6">
        <v>327.79</v>
      </c>
      <c r="J46" s="6">
        <v>269.77</v>
      </c>
      <c r="K46" s="6">
        <v>240.66</v>
      </c>
      <c r="L46" s="6">
        <v>264.77999999999997</v>
      </c>
      <c r="M46" s="6">
        <v>310.04000000000002</v>
      </c>
      <c r="N46" s="6">
        <v>293.11</v>
      </c>
      <c r="O46" s="6">
        <f>SUM(C46:N46)</f>
        <v>3085.0899999999997</v>
      </c>
      <c r="Q46" s="82"/>
      <c r="R46" s="82"/>
      <c r="S46" s="82"/>
      <c r="T46" s="18"/>
    </row>
    <row r="47" spans="1:20">
      <c r="A47">
        <v>4280</v>
      </c>
      <c r="B47" t="s">
        <v>39</v>
      </c>
      <c r="C47" s="6">
        <v>1658.8</v>
      </c>
      <c r="D47" s="6">
        <v>846.7</v>
      </c>
      <c r="E47" s="6">
        <v>395</v>
      </c>
      <c r="F47" s="6">
        <v>335.41</v>
      </c>
      <c r="G47" s="6">
        <v>659.01</v>
      </c>
      <c r="H47" s="6">
        <v>13</v>
      </c>
      <c r="I47" s="6">
        <v>785</v>
      </c>
      <c r="J47" s="6">
        <v>581.5</v>
      </c>
      <c r="K47" s="6">
        <v>2267.87</v>
      </c>
      <c r="L47" s="6">
        <v>1185.44</v>
      </c>
      <c r="M47" s="6">
        <v>1911.07</v>
      </c>
      <c r="N47" s="6">
        <v>3585.43</v>
      </c>
      <c r="O47" s="6">
        <f t="shared" si="3"/>
        <v>14224.23</v>
      </c>
      <c r="Q47" s="82"/>
      <c r="R47" s="82"/>
      <c r="S47" s="82"/>
      <c r="T47" s="18"/>
    </row>
    <row r="48" spans="1:20">
      <c r="A48">
        <v>4282</v>
      </c>
      <c r="B48" t="s">
        <v>334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f>SUM(C48:N48)</f>
        <v>0</v>
      </c>
      <c r="Q48" s="82"/>
      <c r="R48" s="82"/>
      <c r="S48" s="82"/>
      <c r="T48" s="18"/>
    </row>
    <row r="49" spans="1:20">
      <c r="A49" t="s">
        <v>17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Q49" s="82"/>
      <c r="R49" s="82"/>
      <c r="S49" s="82"/>
      <c r="T49" s="18"/>
    </row>
    <row r="50" spans="1:20">
      <c r="A50">
        <v>4360</v>
      </c>
      <c r="B50" t="s">
        <v>40</v>
      </c>
      <c r="C50" s="6">
        <v>31870.92</v>
      </c>
      <c r="D50" s="6">
        <v>29812.36</v>
      </c>
      <c r="E50" s="6">
        <v>29481.52</v>
      </c>
      <c r="F50" s="6">
        <v>26577.48</v>
      </c>
      <c r="G50" s="6">
        <v>24223.4</v>
      </c>
      <c r="H50" s="6">
        <v>30963.52</v>
      </c>
      <c r="I50" s="6">
        <v>30987.8</v>
      </c>
      <c r="J50" s="6">
        <v>36731.879999999997</v>
      </c>
      <c r="K50" s="6">
        <v>46236.07</v>
      </c>
      <c r="L50" s="6">
        <v>45990.43</v>
      </c>
      <c r="M50" s="6">
        <v>49580.480000000003</v>
      </c>
      <c r="N50" s="6">
        <v>43420.71</v>
      </c>
      <c r="O50" s="6">
        <f t="shared" si="3"/>
        <v>425876.56999999995</v>
      </c>
      <c r="Q50" s="82"/>
      <c r="R50" s="82"/>
      <c r="S50" s="82"/>
      <c r="T50" s="18"/>
    </row>
    <row r="51" spans="1:20">
      <c r="A51">
        <v>4361</v>
      </c>
      <c r="B51" t="s">
        <v>41</v>
      </c>
      <c r="C51" s="6">
        <v>17394.57</v>
      </c>
      <c r="D51" s="6">
        <v>18886.46</v>
      </c>
      <c r="E51" s="6">
        <v>14469.1</v>
      </c>
      <c r="F51" s="6">
        <v>15334.47</v>
      </c>
      <c r="G51" s="6">
        <v>14447.71</v>
      </c>
      <c r="H51" s="6">
        <v>25917.71</v>
      </c>
      <c r="I51" s="6">
        <v>15309.96</v>
      </c>
      <c r="J51" s="6">
        <v>23184.76</v>
      </c>
      <c r="K51" s="6">
        <v>16804.72</v>
      </c>
      <c r="L51" s="6">
        <v>22174.49</v>
      </c>
      <c r="M51" s="6">
        <v>29079.439999999999</v>
      </c>
      <c r="N51" s="6">
        <v>42379.72</v>
      </c>
      <c r="O51" s="6">
        <f t="shared" si="3"/>
        <v>255383.11</v>
      </c>
      <c r="Q51" s="82"/>
      <c r="R51" s="82"/>
      <c r="S51" s="82"/>
      <c r="T51" s="18"/>
    </row>
    <row r="52" spans="1:20">
      <c r="A52">
        <v>4362</v>
      </c>
      <c r="B52" t="s">
        <v>42</v>
      </c>
      <c r="C52" s="6">
        <v>25043.78</v>
      </c>
      <c r="D52" s="6">
        <v>26020.18</v>
      </c>
      <c r="E52" s="6">
        <v>13205.87</v>
      </c>
      <c r="F52" s="6">
        <v>12932.06</v>
      </c>
      <c r="G52" s="6">
        <v>12590.18</v>
      </c>
      <c r="H52" s="6">
        <v>18472.84</v>
      </c>
      <c r="I52" s="6">
        <v>17570.240000000002</v>
      </c>
      <c r="J52" s="6">
        <v>24210.46</v>
      </c>
      <c r="K52" s="6">
        <v>23648.51</v>
      </c>
      <c r="L52" s="6">
        <v>24598.02</v>
      </c>
      <c r="M52" s="6">
        <v>28824.58</v>
      </c>
      <c r="N52" s="6">
        <v>23484.69</v>
      </c>
      <c r="O52" s="6">
        <f t="shared" si="3"/>
        <v>250601.41000000003</v>
      </c>
      <c r="Q52" s="82"/>
      <c r="R52" s="82"/>
      <c r="S52" s="82"/>
      <c r="T52" s="18"/>
    </row>
    <row r="53" spans="1:20">
      <c r="A53">
        <v>4363</v>
      </c>
      <c r="B53" t="s">
        <v>43</v>
      </c>
      <c r="C53" s="6">
        <v>9478.09</v>
      </c>
      <c r="D53" s="6">
        <v>13594.71</v>
      </c>
      <c r="E53" s="6">
        <v>11435.73</v>
      </c>
      <c r="F53" s="6">
        <v>8286.5300000000007</v>
      </c>
      <c r="G53" s="6">
        <v>6698.92</v>
      </c>
      <c r="H53" s="6">
        <v>9581.57</v>
      </c>
      <c r="I53" s="6">
        <v>8538.17</v>
      </c>
      <c r="J53" s="6">
        <v>8184.71</v>
      </c>
      <c r="K53" s="6">
        <v>8201.58</v>
      </c>
      <c r="L53" s="6">
        <v>8663.17</v>
      </c>
      <c r="M53" s="6">
        <v>9109.9500000000007</v>
      </c>
      <c r="N53" s="6">
        <v>8774.73</v>
      </c>
      <c r="O53" s="6">
        <f t="shared" si="3"/>
        <v>110547.86</v>
      </c>
      <c r="Q53" s="82"/>
      <c r="R53" s="82"/>
      <c r="S53" s="82"/>
      <c r="T53" s="18"/>
    </row>
    <row r="54" spans="1:20">
      <c r="A54">
        <v>4380</v>
      </c>
      <c r="B54" t="s">
        <v>335</v>
      </c>
      <c r="C54" s="6">
        <v>0</v>
      </c>
      <c r="D54" s="6">
        <v>3353.55</v>
      </c>
      <c r="E54" s="6">
        <v>2137.5</v>
      </c>
      <c r="F54" s="6">
        <v>0</v>
      </c>
      <c r="G54" s="6">
        <v>0</v>
      </c>
      <c r="H54" s="6">
        <v>0</v>
      </c>
      <c r="I54" s="6">
        <v>396.38</v>
      </c>
      <c r="J54" s="6">
        <v>1807.51</v>
      </c>
      <c r="K54" s="6">
        <v>0</v>
      </c>
      <c r="L54" s="6">
        <v>2744.3</v>
      </c>
      <c r="M54" s="6">
        <v>0</v>
      </c>
      <c r="N54" s="6">
        <v>0</v>
      </c>
      <c r="O54" s="6">
        <f>SUM(C54:N54)</f>
        <v>10439.240000000002</v>
      </c>
      <c r="Q54" s="82"/>
      <c r="R54" s="82"/>
      <c r="S54" s="82"/>
      <c r="T54" s="18"/>
    </row>
    <row r="55" spans="1:20">
      <c r="A55" t="s">
        <v>14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Q55" s="82"/>
      <c r="R55" s="82"/>
      <c r="S55" s="82"/>
      <c r="T55" s="18"/>
    </row>
    <row r="56" spans="1:20">
      <c r="A56">
        <v>4430</v>
      </c>
      <c r="B56" t="s">
        <v>44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Q56" s="82"/>
      <c r="R56" s="82"/>
      <c r="S56" s="82"/>
      <c r="T56" s="18"/>
    </row>
    <row r="57" spans="1:20">
      <c r="A57">
        <v>4450</v>
      </c>
      <c r="B57" t="s">
        <v>45</v>
      </c>
      <c r="C57" s="6">
        <v>215</v>
      </c>
      <c r="D57" s="6">
        <v>715</v>
      </c>
      <c r="E57" s="6">
        <v>1232.68</v>
      </c>
      <c r="F57" s="6">
        <v>846.64</v>
      </c>
      <c r="G57" s="6">
        <v>550</v>
      </c>
      <c r="H57" s="6">
        <v>200</v>
      </c>
      <c r="I57" s="6">
        <v>350</v>
      </c>
      <c r="J57" s="6">
        <v>100</v>
      </c>
      <c r="K57" s="6">
        <v>100</v>
      </c>
      <c r="L57" s="6">
        <v>100</v>
      </c>
      <c r="M57" s="6">
        <v>100</v>
      </c>
      <c r="N57" s="6">
        <v>225</v>
      </c>
      <c r="O57" s="6">
        <f>SUM(C57:N57)</f>
        <v>4734.32</v>
      </c>
      <c r="Q57" s="82"/>
      <c r="R57" s="82"/>
      <c r="S57" s="82"/>
      <c r="T57" s="18"/>
    </row>
    <row r="58" spans="1:20">
      <c r="A58" t="s">
        <v>15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Q58" s="82"/>
      <c r="R58" s="82"/>
      <c r="S58" s="82"/>
      <c r="T58" s="18"/>
    </row>
    <row r="59" spans="1:20">
      <c r="A59">
        <v>4530</v>
      </c>
      <c r="B59" t="s">
        <v>46</v>
      </c>
      <c r="C59" s="6">
        <v>6058.08</v>
      </c>
      <c r="D59" s="6">
        <v>8043.08</v>
      </c>
      <c r="E59" s="6">
        <v>6058.51</v>
      </c>
      <c r="F59" s="6">
        <v>6058.08</v>
      </c>
      <c r="G59" s="6">
        <v>6058.08</v>
      </c>
      <c r="H59" s="6">
        <v>6058.09</v>
      </c>
      <c r="I59" s="6">
        <v>6058.08</v>
      </c>
      <c r="J59" s="6">
        <v>6058.08</v>
      </c>
      <c r="K59" s="6">
        <v>6058.08</v>
      </c>
      <c r="L59" s="6">
        <v>6058.08</v>
      </c>
      <c r="M59" s="6">
        <v>6058.08</v>
      </c>
      <c r="N59" s="6">
        <v>6058.08</v>
      </c>
      <c r="O59" s="6">
        <f>SUM(C59:N59)</f>
        <v>74682.400000000009</v>
      </c>
      <c r="Q59" s="82"/>
      <c r="R59" s="82"/>
      <c r="S59" s="82"/>
      <c r="T59" s="18"/>
    </row>
    <row r="60" spans="1:20">
      <c r="A60">
        <v>4540</v>
      </c>
      <c r="B60" t="s">
        <v>47</v>
      </c>
      <c r="C60" s="6">
        <v>1774.45</v>
      </c>
      <c r="D60" s="6">
        <v>1405.4</v>
      </c>
      <c r="E60" s="6">
        <v>2386.92</v>
      </c>
      <c r="F60" s="6">
        <v>1334.56</v>
      </c>
      <c r="G60" s="6">
        <v>1402.59</v>
      </c>
      <c r="H60" s="6">
        <v>1570.97</v>
      </c>
      <c r="I60" s="6">
        <v>2165.46</v>
      </c>
      <c r="J60" s="6">
        <v>1718.96</v>
      </c>
      <c r="K60" s="6">
        <v>1693.85</v>
      </c>
      <c r="L60" s="6">
        <v>1742.78</v>
      </c>
      <c r="M60" s="6">
        <v>1768.92</v>
      </c>
      <c r="N60" s="6">
        <v>1786.33</v>
      </c>
      <c r="O60" s="6">
        <f>SUM(C60:N60)</f>
        <v>20751.190000000002</v>
      </c>
      <c r="Q60" s="82"/>
      <c r="R60" s="82"/>
      <c r="S60" s="82"/>
      <c r="T60" s="18"/>
    </row>
    <row r="61" spans="1:20">
      <c r="A61">
        <v>4580</v>
      </c>
      <c r="B61" t="s">
        <v>48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Q61" s="82"/>
      <c r="R61" s="82"/>
      <c r="S61" s="82"/>
      <c r="T61" s="18"/>
    </row>
    <row r="62" spans="1:20">
      <c r="A62" t="s">
        <v>18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Q62" s="82"/>
      <c r="R62" s="82"/>
      <c r="S62" s="82"/>
      <c r="T62" s="18"/>
    </row>
    <row r="63" spans="1:20">
      <c r="A63">
        <v>4611</v>
      </c>
      <c r="B63" t="s">
        <v>49</v>
      </c>
      <c r="C63" s="6">
        <v>6200</v>
      </c>
      <c r="D63" s="6">
        <v>6200</v>
      </c>
      <c r="E63" s="6">
        <v>6200</v>
      </c>
      <c r="F63" s="6">
        <v>6200</v>
      </c>
      <c r="G63" s="6">
        <v>6200</v>
      </c>
      <c r="H63" s="6">
        <v>6400</v>
      </c>
      <c r="I63" s="6">
        <v>6400</v>
      </c>
      <c r="J63" s="6">
        <v>6400</v>
      </c>
      <c r="K63" s="6">
        <v>6400</v>
      </c>
      <c r="L63" s="6">
        <v>6400</v>
      </c>
      <c r="M63" s="6">
        <v>6400</v>
      </c>
      <c r="N63" s="6">
        <v>6400</v>
      </c>
      <c r="O63" s="6">
        <f t="shared" ref="O63:O82" si="4">SUM(C63:N63)</f>
        <v>75800</v>
      </c>
      <c r="Q63" s="82"/>
      <c r="R63" s="82"/>
      <c r="S63" s="82"/>
      <c r="T63" s="18"/>
    </row>
    <row r="64" spans="1:20">
      <c r="A64">
        <v>4612</v>
      </c>
      <c r="B64" t="s">
        <v>50</v>
      </c>
      <c r="C64" s="6">
        <v>886.5</v>
      </c>
      <c r="D64" s="6">
        <v>738</v>
      </c>
      <c r="E64" s="6">
        <v>2602.91</v>
      </c>
      <c r="F64" s="6">
        <v>901</v>
      </c>
      <c r="G64" s="6">
        <v>785</v>
      </c>
      <c r="H64" s="6">
        <v>835</v>
      </c>
      <c r="I64" s="6">
        <v>1255</v>
      </c>
      <c r="J64" s="6">
        <v>720</v>
      </c>
      <c r="K64" s="6">
        <v>1092</v>
      </c>
      <c r="L64" s="6">
        <v>1498</v>
      </c>
      <c r="M64" s="6">
        <v>1238</v>
      </c>
      <c r="N64" s="6">
        <v>1363</v>
      </c>
      <c r="O64" s="6">
        <f t="shared" si="4"/>
        <v>13914.41</v>
      </c>
      <c r="Q64" s="82"/>
      <c r="R64" s="82"/>
      <c r="S64" s="82"/>
      <c r="T64" s="18"/>
    </row>
    <row r="65" spans="1:20">
      <c r="A65">
        <v>4613</v>
      </c>
      <c r="B65" t="s">
        <v>51</v>
      </c>
      <c r="C65" s="6">
        <v>9500</v>
      </c>
      <c r="D65" s="6">
        <v>9500</v>
      </c>
      <c r="E65" s="6">
        <v>32428.57</v>
      </c>
      <c r="F65" s="6">
        <v>9500</v>
      </c>
      <c r="G65" s="6">
        <v>9500</v>
      </c>
      <c r="H65" s="6">
        <v>9500</v>
      </c>
      <c r="I65" s="6">
        <v>9500</v>
      </c>
      <c r="J65" s="6">
        <v>9500</v>
      </c>
      <c r="K65" s="6">
        <v>9500</v>
      </c>
      <c r="L65" s="6">
        <v>9500</v>
      </c>
      <c r="M65" s="6">
        <v>9500</v>
      </c>
      <c r="N65" s="6">
        <v>9500</v>
      </c>
      <c r="O65" s="6">
        <f t="shared" si="4"/>
        <v>136928.57</v>
      </c>
      <c r="Q65" s="82"/>
      <c r="R65" s="82"/>
      <c r="S65" s="82"/>
      <c r="T65" s="18"/>
    </row>
    <row r="66" spans="1:20">
      <c r="A66">
        <v>4620</v>
      </c>
      <c r="B66" t="s">
        <v>52</v>
      </c>
      <c r="C66" s="6">
        <v>3388.37</v>
      </c>
      <c r="D66" s="6">
        <v>3663.66</v>
      </c>
      <c r="E66" s="6">
        <v>3731.48</v>
      </c>
      <c r="F66" s="6">
        <v>5630.5</v>
      </c>
      <c r="G66" s="6">
        <v>3832.29</v>
      </c>
      <c r="H66" s="6">
        <v>5147.8500000000004</v>
      </c>
      <c r="I66" s="6">
        <v>3132.18</v>
      </c>
      <c r="J66" s="6">
        <v>3856.48</v>
      </c>
      <c r="K66" s="6">
        <v>3707.92</v>
      </c>
      <c r="L66" s="6">
        <v>4871.8599999999997</v>
      </c>
      <c r="M66" s="6">
        <v>3931.39</v>
      </c>
      <c r="N66" s="6">
        <v>3607.01</v>
      </c>
      <c r="O66" s="6">
        <f t="shared" si="4"/>
        <v>48500.990000000005</v>
      </c>
      <c r="Q66" s="82"/>
      <c r="R66" s="82"/>
      <c r="S66" s="82"/>
      <c r="T66" s="18"/>
    </row>
    <row r="67" spans="1:20">
      <c r="A67">
        <v>4622</v>
      </c>
      <c r="B67" t="s">
        <v>53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f t="shared" si="4"/>
        <v>0</v>
      </c>
      <c r="Q67" s="82"/>
      <c r="R67" s="82"/>
      <c r="S67" s="82"/>
      <c r="T67" s="18"/>
    </row>
    <row r="68" spans="1:20">
      <c r="A68">
        <v>4624</v>
      </c>
      <c r="B68" t="s">
        <v>54</v>
      </c>
      <c r="C68" s="6"/>
      <c r="D68" s="6"/>
      <c r="E68" s="6">
        <v>844.46</v>
      </c>
      <c r="F68" s="6"/>
      <c r="G68" s="6"/>
      <c r="H68" s="6">
        <v>36.299999999999997</v>
      </c>
      <c r="I68" s="6"/>
      <c r="J68" s="6"/>
      <c r="K68" s="6"/>
      <c r="L68" s="6"/>
      <c r="M68" s="6">
        <v>48.74</v>
      </c>
      <c r="N68" s="6"/>
      <c r="O68" s="6">
        <f t="shared" si="4"/>
        <v>929.5</v>
      </c>
      <c r="Q68" s="82"/>
      <c r="R68" s="82"/>
      <c r="S68" s="82"/>
      <c r="T68" s="18"/>
    </row>
    <row r="69" spans="1:20">
      <c r="A69">
        <v>4625</v>
      </c>
      <c r="B69" t="s">
        <v>55</v>
      </c>
      <c r="C69" s="6">
        <v>166.79</v>
      </c>
      <c r="D69" s="6">
        <v>84.45</v>
      </c>
      <c r="E69" s="6">
        <v>259.72000000000003</v>
      </c>
      <c r="F69" s="6">
        <v>275.79000000000002</v>
      </c>
      <c r="G69" s="6">
        <v>152.47</v>
      </c>
      <c r="H69" s="6">
        <v>111.85</v>
      </c>
      <c r="I69" s="6">
        <v>118.81</v>
      </c>
      <c r="J69" s="6">
        <v>251.68</v>
      </c>
      <c r="K69" s="6">
        <v>1109.23</v>
      </c>
      <c r="L69" s="6">
        <v>362.64</v>
      </c>
      <c r="M69" s="6">
        <v>27.06</v>
      </c>
      <c r="N69" s="6">
        <v>150.13999999999999</v>
      </c>
      <c r="O69" s="6">
        <f t="shared" si="4"/>
        <v>3070.6299999999997</v>
      </c>
      <c r="Q69" s="82"/>
      <c r="R69" s="82"/>
      <c r="S69" s="82"/>
      <c r="T69" s="18"/>
    </row>
    <row r="70" spans="1:20">
      <c r="A70">
        <v>4627</v>
      </c>
      <c r="B70" t="s">
        <v>56</v>
      </c>
      <c r="C70" s="6"/>
      <c r="D70" s="6">
        <v>175.56</v>
      </c>
      <c r="E70" s="6"/>
      <c r="F70" s="6"/>
      <c r="G70" s="6">
        <v>116</v>
      </c>
      <c r="H70" s="6"/>
      <c r="I70" s="6">
        <v>116</v>
      </c>
      <c r="J70" s="6">
        <v>0</v>
      </c>
      <c r="K70" s="6">
        <v>312</v>
      </c>
      <c r="L70" s="6">
        <v>0</v>
      </c>
      <c r="M70" s="6"/>
      <c r="N70" s="6"/>
      <c r="O70" s="6">
        <f t="shared" si="4"/>
        <v>719.56</v>
      </c>
      <c r="Q70" s="82"/>
      <c r="R70" s="82"/>
      <c r="S70" s="82"/>
      <c r="T70" s="18"/>
    </row>
    <row r="71" spans="1:20">
      <c r="A71">
        <v>4627</v>
      </c>
      <c r="B71" t="s">
        <v>1308</v>
      </c>
      <c r="C71" s="6">
        <v>1987.58</v>
      </c>
      <c r="D71" s="6">
        <v>1934.6</v>
      </c>
      <c r="E71" s="6">
        <v>1827.11</v>
      </c>
      <c r="F71" s="6">
        <v>1774.91</v>
      </c>
      <c r="G71" s="6">
        <v>1736.6</v>
      </c>
      <c r="H71" s="6">
        <v>1966.08</v>
      </c>
      <c r="I71" s="6">
        <v>1722.86</v>
      </c>
      <c r="J71" s="6">
        <v>1770.14</v>
      </c>
      <c r="K71" s="6">
        <v>1837.53</v>
      </c>
      <c r="L71" s="6">
        <v>2026.12</v>
      </c>
      <c r="M71" s="6">
        <v>2029.45</v>
      </c>
      <c r="N71" s="6">
        <v>2020.76</v>
      </c>
      <c r="O71" s="6">
        <f t="shared" ref="O71" si="5">SUM(C71:N71)</f>
        <v>22633.739999999998</v>
      </c>
      <c r="Q71" s="82"/>
      <c r="R71" s="82"/>
      <c r="S71" s="82"/>
      <c r="T71" s="18"/>
    </row>
    <row r="72" spans="1:20">
      <c r="A72">
        <v>4630</v>
      </c>
      <c r="B72" t="s">
        <v>57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>
        <v>525</v>
      </c>
      <c r="O72" s="6">
        <f t="shared" si="4"/>
        <v>525</v>
      </c>
      <c r="Q72" s="82"/>
      <c r="R72" s="82"/>
      <c r="S72" s="82"/>
      <c r="T72" s="18"/>
    </row>
    <row r="73" spans="1:20">
      <c r="A73">
        <v>4640</v>
      </c>
      <c r="B73" t="s">
        <v>58</v>
      </c>
      <c r="C73" s="6">
        <v>1206.96</v>
      </c>
      <c r="D73" s="6">
        <v>1208.3</v>
      </c>
      <c r="E73" s="6">
        <v>1354.02</v>
      </c>
      <c r="F73" s="6">
        <v>1553.97</v>
      </c>
      <c r="G73" s="6">
        <v>1659.42</v>
      </c>
      <c r="H73" s="6">
        <v>1352.99</v>
      </c>
      <c r="I73" s="6">
        <v>1219.8</v>
      </c>
      <c r="J73" s="6">
        <v>1199.2</v>
      </c>
      <c r="K73" s="6">
        <v>816.53</v>
      </c>
      <c r="L73" s="6">
        <v>1462.66</v>
      </c>
      <c r="M73" s="6">
        <v>1131.06</v>
      </c>
      <c r="N73" s="6">
        <v>1120.22</v>
      </c>
      <c r="O73" s="6">
        <f t="shared" si="4"/>
        <v>15285.13</v>
      </c>
      <c r="Q73" s="82"/>
      <c r="R73" s="82"/>
      <c r="S73" s="82"/>
      <c r="T73" s="18"/>
    </row>
    <row r="74" spans="1:20">
      <c r="A74">
        <v>4642</v>
      </c>
      <c r="B74" t="s">
        <v>1397</v>
      </c>
      <c r="C74" s="6">
        <v>25.98</v>
      </c>
      <c r="D74" s="6">
        <v>122.88</v>
      </c>
      <c r="E74" s="6">
        <v>204.96</v>
      </c>
      <c r="F74" s="6"/>
      <c r="G74" s="6"/>
      <c r="H74" s="6">
        <v>246</v>
      </c>
      <c r="I74" s="6">
        <v>194.7</v>
      </c>
      <c r="J74" s="6">
        <v>55.62</v>
      </c>
      <c r="K74" s="6">
        <v>26.5</v>
      </c>
      <c r="L74" s="6">
        <v>25.68</v>
      </c>
      <c r="M74" s="6">
        <v>24.5</v>
      </c>
      <c r="N74" s="6">
        <v>26.86</v>
      </c>
      <c r="O74" s="6">
        <f t="shared" ref="O74" si="6">SUM(C74:N74)</f>
        <v>953.68</v>
      </c>
      <c r="Q74" s="82"/>
      <c r="R74" s="82"/>
      <c r="S74" s="82"/>
      <c r="T74" s="18"/>
    </row>
    <row r="75" spans="1:20">
      <c r="A75">
        <v>4650</v>
      </c>
      <c r="B75" t="s">
        <v>59</v>
      </c>
      <c r="C75" s="6">
        <v>6548.74</v>
      </c>
      <c r="D75" s="6">
        <v>6548.74</v>
      </c>
      <c r="E75" s="6"/>
      <c r="F75" s="6">
        <v>6937.84</v>
      </c>
      <c r="G75" s="6">
        <v>5030.88</v>
      </c>
      <c r="H75" s="6">
        <v>5967.66</v>
      </c>
      <c r="I75" s="6">
        <v>5842.46</v>
      </c>
      <c r="J75" s="6">
        <v>6686.04</v>
      </c>
      <c r="K75" s="6">
        <v>6686.04</v>
      </c>
      <c r="L75" s="6">
        <v>6686.04</v>
      </c>
      <c r="M75" s="6">
        <v>6686.04</v>
      </c>
      <c r="N75" s="6">
        <v>14495.84</v>
      </c>
      <c r="O75" s="6">
        <f t="shared" si="4"/>
        <v>78116.320000000007</v>
      </c>
      <c r="Q75" s="82"/>
      <c r="R75" s="82"/>
      <c r="S75" s="82"/>
      <c r="T75" s="18"/>
    </row>
    <row r="76" spans="1:20">
      <c r="A76">
        <v>4652</v>
      </c>
      <c r="B76" t="s">
        <v>60</v>
      </c>
      <c r="C76" s="6">
        <v>909.2</v>
      </c>
      <c r="D76" s="6">
        <v>876.61</v>
      </c>
      <c r="E76" s="6">
        <v>1572.77</v>
      </c>
      <c r="F76" s="6">
        <v>936.61</v>
      </c>
      <c r="G76" s="6">
        <v>829.53</v>
      </c>
      <c r="H76" s="6">
        <v>843.23</v>
      </c>
      <c r="I76" s="6">
        <v>938.79</v>
      </c>
      <c r="J76" s="6">
        <v>706.63</v>
      </c>
      <c r="K76" s="6">
        <v>705.47</v>
      </c>
      <c r="L76" s="6">
        <v>781.64</v>
      </c>
      <c r="M76" s="6">
        <v>846.17</v>
      </c>
      <c r="N76" s="6">
        <v>736.4</v>
      </c>
      <c r="O76" s="6">
        <f t="shared" si="4"/>
        <v>10683.049999999997</v>
      </c>
      <c r="Q76" s="82"/>
      <c r="R76" s="82"/>
      <c r="S76" s="82"/>
      <c r="T76" s="18"/>
    </row>
    <row r="77" spans="1:20">
      <c r="A77">
        <v>4660</v>
      </c>
      <c r="B77" t="s">
        <v>61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f t="shared" si="4"/>
        <v>0</v>
      </c>
      <c r="Q77" s="82"/>
      <c r="R77" s="82"/>
      <c r="S77" s="82"/>
      <c r="T77" s="18"/>
    </row>
    <row r="78" spans="1:20">
      <c r="A78">
        <v>4670</v>
      </c>
      <c r="B78" t="s">
        <v>62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f t="shared" si="4"/>
        <v>0</v>
      </c>
      <c r="Q78" s="82"/>
      <c r="R78" s="82"/>
      <c r="S78" s="82"/>
      <c r="T78" s="18"/>
    </row>
    <row r="79" spans="1:20">
      <c r="A79">
        <v>4680</v>
      </c>
      <c r="B79" t="s">
        <v>63</v>
      </c>
      <c r="C79" s="6"/>
      <c r="D79" s="6"/>
      <c r="E79" s="6"/>
      <c r="F79" s="6"/>
      <c r="G79" s="6"/>
      <c r="H79" s="6"/>
      <c r="I79" s="6">
        <v>13958.2</v>
      </c>
      <c r="J79" s="6"/>
      <c r="K79" s="6"/>
      <c r="L79" s="6"/>
      <c r="M79" s="6"/>
      <c r="N79" s="6"/>
      <c r="O79" s="6">
        <f t="shared" si="4"/>
        <v>13958.2</v>
      </c>
      <c r="Q79" s="82"/>
      <c r="R79" s="82"/>
      <c r="S79" s="82"/>
      <c r="T79" s="18"/>
    </row>
    <row r="80" spans="1:20">
      <c r="A80">
        <v>4692</v>
      </c>
      <c r="B80" t="s">
        <v>64</v>
      </c>
      <c r="C80" s="6">
        <v>766.62</v>
      </c>
      <c r="D80" s="6">
        <v>671.62</v>
      </c>
      <c r="E80" s="6">
        <v>617.66</v>
      </c>
      <c r="F80" s="6">
        <v>1816.62</v>
      </c>
      <c r="G80" s="6">
        <v>626.62</v>
      </c>
      <c r="H80" s="6">
        <v>1626.62</v>
      </c>
      <c r="I80" s="6">
        <v>856.62</v>
      </c>
      <c r="J80" s="6">
        <v>1176.6199999999999</v>
      </c>
      <c r="K80" s="6">
        <v>2232.66</v>
      </c>
      <c r="L80" s="6">
        <v>626.62</v>
      </c>
      <c r="M80" s="6">
        <v>626.62</v>
      </c>
      <c r="N80" s="6">
        <v>1146.6199999999999</v>
      </c>
      <c r="O80" s="6">
        <f t="shared" si="4"/>
        <v>12791.52</v>
      </c>
      <c r="Q80" s="82"/>
      <c r="R80" s="82"/>
      <c r="S80" s="82"/>
      <c r="T80" s="18"/>
    </row>
    <row r="81" spans="1:20">
      <c r="A81">
        <v>4694</v>
      </c>
      <c r="B81" t="s">
        <v>65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f t="shared" si="4"/>
        <v>0</v>
      </c>
      <c r="Q81" s="82"/>
      <c r="R81" s="82"/>
      <c r="S81" s="82"/>
      <c r="T81" s="18"/>
    </row>
    <row r="82" spans="1:20">
      <c r="A82">
        <v>4698</v>
      </c>
      <c r="B82" t="s">
        <v>66</v>
      </c>
      <c r="C82" s="6"/>
      <c r="D82" s="6"/>
      <c r="E82" s="6">
        <v>69.010000000000005</v>
      </c>
      <c r="F82" s="6"/>
      <c r="G82" s="6"/>
      <c r="H82" s="6"/>
      <c r="I82" s="6">
        <v>160.27000000000001</v>
      </c>
      <c r="J82" s="6">
        <v>78.63</v>
      </c>
      <c r="K82" s="6">
        <v>271.02999999999997</v>
      </c>
      <c r="L82" s="6">
        <v>271.02999999999997</v>
      </c>
      <c r="M82" s="6"/>
      <c r="N82" s="6"/>
      <c r="O82" s="6">
        <f t="shared" si="4"/>
        <v>849.97</v>
      </c>
      <c r="Q82" s="82"/>
      <c r="R82" s="82"/>
      <c r="S82" s="82"/>
      <c r="T82" s="18"/>
    </row>
    <row r="83" spans="1:20">
      <c r="A83" t="s">
        <v>19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Q83" s="82"/>
      <c r="R83" s="82"/>
      <c r="S83" s="82"/>
      <c r="T83" s="18"/>
    </row>
    <row r="84" spans="1:20">
      <c r="A84">
        <v>5010</v>
      </c>
      <c r="B84" t="s">
        <v>67</v>
      </c>
      <c r="C84" s="6"/>
      <c r="D84" s="6"/>
      <c r="E84" s="6">
        <v>257926</v>
      </c>
      <c r="F84" s="6"/>
      <c r="G84" s="6"/>
      <c r="H84" s="6"/>
      <c r="I84" s="6"/>
      <c r="J84" s="6"/>
      <c r="K84" s="6"/>
      <c r="L84" s="6"/>
      <c r="M84" s="6"/>
      <c r="N84" s="6"/>
      <c r="O84" s="6">
        <f>SUM(C84:N84)</f>
        <v>257926</v>
      </c>
      <c r="Q84" s="82"/>
      <c r="R84" s="82"/>
      <c r="S84" s="82"/>
      <c r="T84" s="18"/>
    </row>
    <row r="85" spans="1:20">
      <c r="A85">
        <v>5100</v>
      </c>
      <c r="B85" t="s">
        <v>68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f>SUM(C85:N85)</f>
        <v>0</v>
      </c>
      <c r="Q85" s="82"/>
      <c r="R85" s="82"/>
      <c r="S85" s="82"/>
      <c r="T85" s="18"/>
    </row>
    <row r="86" spans="1:20">
      <c r="A86" t="s">
        <v>20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Q86" s="82"/>
      <c r="R86" s="82"/>
      <c r="S86" s="82"/>
      <c r="T86" s="18"/>
    </row>
    <row r="87" spans="1:20">
      <c r="A87">
        <v>5151</v>
      </c>
      <c r="B87" t="s">
        <v>69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>
        <f>SUM(C87:N87)</f>
        <v>0</v>
      </c>
      <c r="Q87" s="82"/>
      <c r="R87" s="82"/>
      <c r="S87" s="82"/>
      <c r="T87" s="18"/>
    </row>
    <row r="88" spans="1:20">
      <c r="A88" t="s">
        <v>21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Q88" s="82"/>
      <c r="R88" s="82"/>
      <c r="S88" s="82"/>
      <c r="T88" s="18"/>
    </row>
    <row r="89" spans="1:20">
      <c r="A89">
        <v>5220</v>
      </c>
      <c r="B89" t="s">
        <v>70</v>
      </c>
      <c r="C89" s="6"/>
      <c r="D89" s="6"/>
      <c r="E89" s="6">
        <v>730</v>
      </c>
      <c r="F89" s="6"/>
      <c r="G89" s="6">
        <v>622.5</v>
      </c>
      <c r="H89" s="6">
        <v>1218</v>
      </c>
      <c r="I89" s="6"/>
      <c r="J89" s="6"/>
      <c r="K89" s="6"/>
      <c r="L89" s="6">
        <v>2166.25</v>
      </c>
      <c r="M89" s="6">
        <v>824.5</v>
      </c>
      <c r="N89" s="6">
        <v>115.5</v>
      </c>
      <c r="O89" s="6">
        <f t="shared" ref="O89:O98" si="7">SUM(C89:N89)</f>
        <v>5676.75</v>
      </c>
      <c r="Q89" s="82"/>
      <c r="R89" s="82"/>
      <c r="S89" s="82"/>
      <c r="T89" s="18"/>
    </row>
    <row r="90" spans="1:20">
      <c r="A90">
        <v>5230</v>
      </c>
      <c r="B90" t="s">
        <v>71</v>
      </c>
      <c r="C90" s="6">
        <v>1226.9100000000001</v>
      </c>
      <c r="D90" s="6"/>
      <c r="E90" s="6"/>
      <c r="F90" s="6"/>
      <c r="G90" s="6"/>
      <c r="H90" s="6"/>
      <c r="I90" s="6">
        <v>1168.08</v>
      </c>
      <c r="J90" s="6"/>
      <c r="K90" s="6"/>
      <c r="L90" s="6"/>
      <c r="M90" s="6"/>
      <c r="N90" s="6"/>
      <c r="O90" s="6">
        <f t="shared" si="7"/>
        <v>2394.9899999999998</v>
      </c>
      <c r="Q90" s="82"/>
      <c r="R90" s="82"/>
      <c r="S90" s="82"/>
      <c r="T90" s="18"/>
    </row>
    <row r="91" spans="1:20">
      <c r="A91">
        <v>5240</v>
      </c>
      <c r="B91" t="s">
        <v>72</v>
      </c>
      <c r="C91" s="6">
        <v>4145.59</v>
      </c>
      <c r="D91" s="6">
        <v>3758.77</v>
      </c>
      <c r="E91" s="6">
        <v>7171.05</v>
      </c>
      <c r="F91" s="6">
        <v>4184.97</v>
      </c>
      <c r="G91" s="6">
        <v>3906.01</v>
      </c>
      <c r="H91" s="6">
        <v>4373.87</v>
      </c>
      <c r="I91" s="6">
        <v>5403.91</v>
      </c>
      <c r="J91" s="6">
        <v>4374.7700000000004</v>
      </c>
      <c r="K91" s="6">
        <v>4311.01</v>
      </c>
      <c r="L91" s="6">
        <v>4716.6099999999997</v>
      </c>
      <c r="M91" s="6">
        <v>4911.18</v>
      </c>
      <c r="N91" s="6">
        <v>4624.32</v>
      </c>
      <c r="O91" s="6">
        <f t="shared" si="7"/>
        <v>55882.060000000005</v>
      </c>
      <c r="Q91" s="82"/>
      <c r="R91" s="82"/>
      <c r="S91" s="82"/>
      <c r="T91" s="18"/>
    </row>
    <row r="92" spans="1:20">
      <c r="A92">
        <v>5241</v>
      </c>
      <c r="B92" t="s">
        <v>73</v>
      </c>
      <c r="C92" s="6"/>
      <c r="D92" s="6"/>
      <c r="E92" s="6">
        <v>13.36</v>
      </c>
      <c r="F92" s="6">
        <v>299.74</v>
      </c>
      <c r="G92" s="6">
        <v>92.81</v>
      </c>
      <c r="H92" s="6">
        <v>57.84</v>
      </c>
      <c r="I92" s="6">
        <v>33.67</v>
      </c>
      <c r="J92" s="6">
        <v>51.16</v>
      </c>
      <c r="K92" s="6">
        <v>37.39</v>
      </c>
      <c r="L92" s="6">
        <v>9.9499999999999993</v>
      </c>
      <c r="M92" s="6">
        <v>38.26</v>
      </c>
      <c r="N92" s="6">
        <v>43.86</v>
      </c>
      <c r="O92" s="6">
        <f t="shared" si="7"/>
        <v>678.04000000000008</v>
      </c>
      <c r="Q92" s="82"/>
      <c r="R92" s="82"/>
      <c r="S92" s="82"/>
      <c r="T92" s="18"/>
    </row>
    <row r="93" spans="1:20">
      <c r="A93">
        <v>5242</v>
      </c>
      <c r="B93" t="s">
        <v>74</v>
      </c>
      <c r="C93" s="6">
        <v>192.58</v>
      </c>
      <c r="D93" s="6">
        <v>162.38</v>
      </c>
      <c r="E93" s="6">
        <v>-1111.55</v>
      </c>
      <c r="F93" s="6">
        <v>652.41999999999996</v>
      </c>
      <c r="G93" s="6">
        <v>604.29999999999995</v>
      </c>
      <c r="H93" s="6">
        <v>682.78</v>
      </c>
      <c r="I93" s="6">
        <v>860.6</v>
      </c>
      <c r="J93" s="6">
        <v>682.93</v>
      </c>
      <c r="K93" s="6">
        <v>671.92</v>
      </c>
      <c r="L93" s="6">
        <v>695.57</v>
      </c>
      <c r="M93" s="6">
        <v>580.33000000000004</v>
      </c>
      <c r="N93" s="6">
        <v>534.55999999999995</v>
      </c>
      <c r="O93" s="6">
        <f t="shared" si="7"/>
        <v>5208.82</v>
      </c>
      <c r="Q93" s="82"/>
      <c r="R93" s="82"/>
      <c r="S93" s="82"/>
      <c r="T93" s="18"/>
    </row>
    <row r="94" spans="1:20">
      <c r="A94">
        <v>5260</v>
      </c>
      <c r="B94" t="s">
        <v>75</v>
      </c>
      <c r="C94" s="6">
        <v>4878.8</v>
      </c>
      <c r="D94" s="6">
        <v>4637.22</v>
      </c>
      <c r="E94" s="6">
        <v>3892.75</v>
      </c>
      <c r="F94" s="6">
        <v>3663.92</v>
      </c>
      <c r="G94" s="6">
        <v>3551.21</v>
      </c>
      <c r="H94" s="6">
        <v>4185.74</v>
      </c>
      <c r="I94" s="6">
        <v>4070.13</v>
      </c>
      <c r="J94" s="6">
        <v>4783</v>
      </c>
      <c r="K94" s="6">
        <v>5134.8999999999996</v>
      </c>
      <c r="L94" s="6">
        <v>5414.77</v>
      </c>
      <c r="M94" s="6">
        <v>5796.35</v>
      </c>
      <c r="N94" s="6">
        <v>5785.48</v>
      </c>
      <c r="O94" s="6">
        <f t="shared" si="7"/>
        <v>55794.270000000004</v>
      </c>
      <c r="Q94" s="82"/>
      <c r="R94" s="82"/>
      <c r="S94" s="82"/>
      <c r="T94" s="18"/>
    </row>
    <row r="95" spans="1:20">
      <c r="A95">
        <v>5270</v>
      </c>
      <c r="B95" t="s">
        <v>76</v>
      </c>
      <c r="C95" s="6"/>
      <c r="D95" s="6">
        <v>1859.79</v>
      </c>
      <c r="E95" s="6">
        <v>-0.13</v>
      </c>
      <c r="F95" s="6"/>
      <c r="G95" s="6">
        <v>2043.68</v>
      </c>
      <c r="H95" s="6"/>
      <c r="I95" s="6"/>
      <c r="J95" s="6"/>
      <c r="K95" s="6">
        <v>2043.67</v>
      </c>
      <c r="L95" s="6"/>
      <c r="M95" s="6">
        <v>2043.67</v>
      </c>
      <c r="N95" s="6"/>
      <c r="O95" s="6">
        <f t="shared" si="7"/>
        <v>7990.68</v>
      </c>
      <c r="Q95" s="82"/>
      <c r="R95" s="82"/>
      <c r="S95" s="82"/>
      <c r="T95" s="18"/>
    </row>
    <row r="96" spans="1:20">
      <c r="A96">
        <v>5290</v>
      </c>
      <c r="B96" t="s">
        <v>77</v>
      </c>
      <c r="C96" s="6"/>
      <c r="D96" s="6">
        <v>23.63</v>
      </c>
      <c r="E96" s="6"/>
      <c r="F96" s="6"/>
      <c r="G96" s="6">
        <v>90</v>
      </c>
      <c r="H96" s="6"/>
      <c r="I96" s="6">
        <v>60</v>
      </c>
      <c r="J96" s="6"/>
      <c r="K96" s="6"/>
      <c r="L96" s="6">
        <v>60</v>
      </c>
      <c r="M96" s="6"/>
      <c r="N96" s="6"/>
      <c r="O96" s="6">
        <f t="shared" si="7"/>
        <v>233.63</v>
      </c>
      <c r="Q96" s="82"/>
      <c r="R96" s="82"/>
      <c r="S96" s="82"/>
      <c r="T96" s="18"/>
    </row>
    <row r="97" spans="1:20">
      <c r="A97" t="s">
        <v>22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Q97" s="82"/>
      <c r="R97" s="82"/>
      <c r="S97" s="82"/>
      <c r="T97" s="18"/>
    </row>
    <row r="98" spans="1:20">
      <c r="A98">
        <v>5320</v>
      </c>
      <c r="B98" t="s">
        <v>78</v>
      </c>
      <c r="C98" s="6">
        <v>7160</v>
      </c>
      <c r="D98" s="6">
        <v>7160</v>
      </c>
      <c r="E98" s="6">
        <v>7160</v>
      </c>
      <c r="F98" s="6">
        <v>7448</v>
      </c>
      <c r="G98" s="6">
        <v>7448</v>
      </c>
      <c r="H98" s="6">
        <v>7448</v>
      </c>
      <c r="I98" s="6">
        <v>7448</v>
      </c>
      <c r="J98" s="6">
        <v>7448</v>
      </c>
      <c r="K98" s="6">
        <v>7448</v>
      </c>
      <c r="L98" s="6">
        <v>7448</v>
      </c>
      <c r="M98" s="6">
        <v>7448</v>
      </c>
      <c r="N98" s="6">
        <v>7448</v>
      </c>
      <c r="O98" s="6">
        <f t="shared" si="7"/>
        <v>88512</v>
      </c>
      <c r="Q98" s="82"/>
      <c r="R98" s="82"/>
      <c r="S98" s="82"/>
      <c r="T98" s="18"/>
    </row>
    <row r="99" spans="1:20" ht="13.5" thickBot="1">
      <c r="A99">
        <v>5322</v>
      </c>
      <c r="B99" s="83" t="s">
        <v>370</v>
      </c>
      <c r="C99" s="7">
        <v>2400</v>
      </c>
      <c r="D99" s="7">
        <v>2400</v>
      </c>
      <c r="E99" s="7">
        <v>2400</v>
      </c>
      <c r="F99" s="7">
        <v>2400</v>
      </c>
      <c r="G99" s="7">
        <v>2400</v>
      </c>
      <c r="H99" s="7">
        <v>2400</v>
      </c>
      <c r="I99" s="7">
        <v>2400</v>
      </c>
      <c r="J99" s="7">
        <v>2400</v>
      </c>
      <c r="K99" s="7">
        <v>2400</v>
      </c>
      <c r="L99" s="7">
        <v>2400</v>
      </c>
      <c r="M99" s="7">
        <v>2400</v>
      </c>
      <c r="N99" s="7">
        <v>2400</v>
      </c>
      <c r="O99" s="7">
        <f>SUM(C99:N99)</f>
        <v>28800</v>
      </c>
      <c r="Q99" s="82"/>
      <c r="R99" s="82"/>
      <c r="S99" s="82"/>
      <c r="T99" s="18"/>
    </row>
    <row r="100" spans="1:20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Q100" s="82"/>
      <c r="R100" s="82"/>
      <c r="S100" s="82"/>
      <c r="T100" s="18"/>
    </row>
    <row r="101" spans="1:20" ht="13.5" thickBot="1">
      <c r="B101" t="s">
        <v>23</v>
      </c>
      <c r="C101" s="7">
        <f>SUM(C24:C99)</f>
        <v>201484.00799999997</v>
      </c>
      <c r="D101" s="7">
        <f>SUM(D24:D99)</f>
        <v>198971.39999999994</v>
      </c>
      <c r="E101" s="7">
        <f>SUM(E24:E99)</f>
        <v>481458.64</v>
      </c>
      <c r="F101" s="7">
        <f t="shared" ref="F101:N101" si="8">SUM(F24:F99)</f>
        <v>181008.66</v>
      </c>
      <c r="G101" s="7">
        <f t="shared" si="8"/>
        <v>164728.53999999998</v>
      </c>
      <c r="H101" s="7">
        <f t="shared" si="8"/>
        <v>210217.47399999996</v>
      </c>
      <c r="I101" s="7">
        <f t="shared" si="8"/>
        <v>222617.67999999996</v>
      </c>
      <c r="J101" s="7">
        <f t="shared" si="8"/>
        <v>227795.09000000003</v>
      </c>
      <c r="K101" s="7">
        <f t="shared" si="8"/>
        <v>236150.48000000007</v>
      </c>
      <c r="L101" s="7">
        <f t="shared" si="8"/>
        <v>244707.83</v>
      </c>
      <c r="M101" s="7">
        <f t="shared" si="8"/>
        <v>255755.38000000003</v>
      </c>
      <c r="N101" s="7">
        <f t="shared" si="8"/>
        <v>260222.90999999997</v>
      </c>
      <c r="O101" s="7">
        <f>SUM(O24:O99)</f>
        <v>2885118.0920000006</v>
      </c>
      <c r="Q101" s="82"/>
      <c r="R101" s="82"/>
      <c r="S101" s="82"/>
      <c r="T101" s="18"/>
    </row>
    <row r="102" spans="1:20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Q102" s="82"/>
      <c r="R102" s="82"/>
      <c r="S102" s="82"/>
      <c r="T102" s="18"/>
    </row>
    <row r="103" spans="1:20" ht="13.5" thickBot="1">
      <c r="B103" t="s">
        <v>24</v>
      </c>
      <c r="C103" s="7">
        <f>+C20-C101</f>
        <v>74563.652000000002</v>
      </c>
      <c r="D103" s="7">
        <f>+D20-D101</f>
        <v>63725.740000000078</v>
      </c>
      <c r="E103" s="7">
        <f>+E20-E101</f>
        <v>-245597.59</v>
      </c>
      <c r="F103" s="7">
        <f t="shared" ref="F103:N103" si="9">+F20-F101</f>
        <v>27052.630000000005</v>
      </c>
      <c r="G103" s="7">
        <f t="shared" si="9"/>
        <v>30118.620000000024</v>
      </c>
      <c r="H103" s="7">
        <f t="shared" si="9"/>
        <v>27276.757000000041</v>
      </c>
      <c r="I103" s="7">
        <f t="shared" si="9"/>
        <v>7416.530000000057</v>
      </c>
      <c r="J103" s="7">
        <f t="shared" si="9"/>
        <v>41992.149999999965</v>
      </c>
      <c r="K103" s="7">
        <f t="shared" si="9"/>
        <v>44077.709999999934</v>
      </c>
      <c r="L103" s="7">
        <f t="shared" si="9"/>
        <v>61569.76999999999</v>
      </c>
      <c r="M103" s="7">
        <f t="shared" si="9"/>
        <v>72297.959999999934</v>
      </c>
      <c r="N103" s="7">
        <f t="shared" si="9"/>
        <v>63064.380000000005</v>
      </c>
      <c r="O103" s="7">
        <f>+O20-O101</f>
        <v>267558.30899999943</v>
      </c>
      <c r="Q103" s="82"/>
      <c r="R103" s="82"/>
      <c r="S103" s="82"/>
      <c r="T103" s="18"/>
    </row>
    <row r="104" spans="1:20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Q104" s="82"/>
      <c r="R104" s="82"/>
      <c r="S104" s="82"/>
      <c r="T104" s="18"/>
    </row>
    <row r="105" spans="1:20">
      <c r="A105" t="s">
        <v>25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Q105" s="82"/>
      <c r="R105" s="82"/>
      <c r="S105" s="82"/>
      <c r="T105" s="18"/>
    </row>
    <row r="106" spans="1:20">
      <c r="A106">
        <v>6110</v>
      </c>
      <c r="B106" t="s">
        <v>1398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f t="shared" ref="O106:O111" si="10">SUM(C106:N106)</f>
        <v>0</v>
      </c>
      <c r="Q106" s="82"/>
      <c r="R106" s="82"/>
      <c r="S106" s="82"/>
      <c r="T106" s="18"/>
    </row>
    <row r="107" spans="1:20">
      <c r="A107">
        <v>6200</v>
      </c>
      <c r="B107" t="s">
        <v>79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f t="shared" si="10"/>
        <v>0</v>
      </c>
      <c r="Q107" s="82"/>
      <c r="R107" s="82"/>
      <c r="S107" s="82"/>
      <c r="T107" s="18"/>
    </row>
    <row r="108" spans="1:20">
      <c r="A108">
        <v>6455</v>
      </c>
      <c r="B108" t="s">
        <v>385</v>
      </c>
      <c r="C108" s="6">
        <v>0</v>
      </c>
      <c r="D108" s="6">
        <v>0</v>
      </c>
      <c r="E108" s="6">
        <v>-3926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f t="shared" si="10"/>
        <v>-3926</v>
      </c>
      <c r="Q108" s="82"/>
      <c r="R108" s="82"/>
      <c r="S108" s="82"/>
      <c r="T108" s="18"/>
    </row>
    <row r="109" spans="1:20">
      <c r="A109">
        <v>6512</v>
      </c>
      <c r="B109" t="s">
        <v>80</v>
      </c>
      <c r="C109" s="6">
        <v>11.47</v>
      </c>
      <c r="D109" s="6">
        <v>11.39</v>
      </c>
      <c r="E109" s="6">
        <v>1440.13</v>
      </c>
      <c r="F109" s="6">
        <v>11.9</v>
      </c>
      <c r="G109" s="6">
        <v>10.64</v>
      </c>
      <c r="H109" s="6">
        <v>234.88</v>
      </c>
      <c r="I109" s="6">
        <v>10.45</v>
      </c>
      <c r="J109" s="6">
        <v>10.14</v>
      </c>
      <c r="K109" s="6">
        <v>1900.89</v>
      </c>
      <c r="L109" s="6">
        <v>10.050000000000001</v>
      </c>
      <c r="M109" s="6">
        <v>10.19</v>
      </c>
      <c r="N109" s="6">
        <v>312.12</v>
      </c>
      <c r="O109" s="6">
        <f t="shared" si="10"/>
        <v>3974.2500000000005</v>
      </c>
      <c r="Q109" s="82"/>
      <c r="R109" s="82"/>
      <c r="S109" s="82"/>
      <c r="T109" s="18"/>
    </row>
    <row r="110" spans="1:20">
      <c r="A110">
        <v>6514</v>
      </c>
      <c r="B110" t="s">
        <v>81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f t="shared" si="10"/>
        <v>0</v>
      </c>
      <c r="Q110" s="82"/>
      <c r="R110" s="82"/>
      <c r="S110" s="82"/>
      <c r="T110" s="18"/>
    </row>
    <row r="111" spans="1:20">
      <c r="A111">
        <v>7110</v>
      </c>
      <c r="B111" t="s">
        <v>82</v>
      </c>
      <c r="C111" s="6">
        <v>-632.25</v>
      </c>
      <c r="D111" s="6">
        <v>-595.84</v>
      </c>
      <c r="E111" s="6">
        <v>-2984.74</v>
      </c>
      <c r="F111" s="6">
        <v>-543.9</v>
      </c>
      <c r="G111" s="6">
        <v>-517.76</v>
      </c>
      <c r="H111" s="6">
        <v>-491.52</v>
      </c>
      <c r="I111" s="6">
        <v>-1339.32</v>
      </c>
      <c r="J111" s="6">
        <v>-1051.24</v>
      </c>
      <c r="K111" s="6">
        <v>-1013.01</v>
      </c>
      <c r="L111" s="6">
        <v>-974.61</v>
      </c>
      <c r="M111" s="6">
        <v>-936.05</v>
      </c>
      <c r="N111" s="6">
        <v>-897.31</v>
      </c>
      <c r="O111" s="6">
        <f t="shared" si="10"/>
        <v>-11977.55</v>
      </c>
      <c r="Q111" s="82"/>
      <c r="R111" s="82"/>
      <c r="S111" s="82"/>
      <c r="T111" s="18"/>
    </row>
    <row r="112" spans="1:20" ht="13.5" thickBot="1">
      <c r="A112">
        <v>6120</v>
      </c>
      <c r="B112" t="s">
        <v>83</v>
      </c>
      <c r="C112" s="7"/>
      <c r="D112" s="7"/>
      <c r="E112" s="7">
        <v>5294</v>
      </c>
      <c r="F112" s="7"/>
      <c r="G112" s="7"/>
      <c r="H112" s="7"/>
      <c r="I112" s="7"/>
      <c r="J112" s="7"/>
      <c r="K112" s="7"/>
      <c r="L112" s="7"/>
      <c r="M112" s="7"/>
      <c r="N112" s="7"/>
      <c r="O112" s="7">
        <f>SUM(C112:N112)</f>
        <v>5294</v>
      </c>
      <c r="Q112" s="82"/>
      <c r="R112" s="82"/>
      <c r="S112" s="82"/>
      <c r="T112" s="18"/>
    </row>
    <row r="113" spans="2:20"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Q113" s="82"/>
      <c r="R113" s="82"/>
      <c r="S113" s="82"/>
      <c r="T113" s="18"/>
    </row>
    <row r="114" spans="2:20" ht="13.5" thickBot="1">
      <c r="B114" t="s">
        <v>26</v>
      </c>
      <c r="C114" s="7">
        <f t="shared" ref="C114:E114" si="11">SUM(C106:C112)</f>
        <v>-620.78</v>
      </c>
      <c r="D114" s="7">
        <f t="shared" si="11"/>
        <v>-584.45000000000005</v>
      </c>
      <c r="E114" s="7">
        <f t="shared" si="11"/>
        <v>-176.60999999999967</v>
      </c>
      <c r="F114" s="7">
        <f t="shared" ref="F114:O114" si="12">SUM(F106:F112)</f>
        <v>-532</v>
      </c>
      <c r="G114" s="7">
        <f t="shared" si="12"/>
        <v>-507.12</v>
      </c>
      <c r="H114" s="7">
        <f t="shared" si="12"/>
        <v>-256.64</v>
      </c>
      <c r="I114" s="7">
        <f t="shared" si="12"/>
        <v>-1328.87</v>
      </c>
      <c r="J114" s="7">
        <f t="shared" si="12"/>
        <v>-1041.0999999999999</v>
      </c>
      <c r="K114" s="7">
        <f t="shared" si="12"/>
        <v>887.88000000000011</v>
      </c>
      <c r="L114" s="7">
        <f t="shared" si="12"/>
        <v>-964.56000000000006</v>
      </c>
      <c r="M114" s="7">
        <f t="shared" si="12"/>
        <v>-925.8599999999999</v>
      </c>
      <c r="N114" s="7">
        <f t="shared" si="12"/>
        <v>-585.18999999999994</v>
      </c>
      <c r="O114" s="7">
        <f t="shared" si="12"/>
        <v>-6635.2999999999993</v>
      </c>
      <c r="Q114" s="82"/>
      <c r="R114" s="82"/>
      <c r="S114" s="82"/>
      <c r="T114" s="18"/>
    </row>
    <row r="115" spans="2:20"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Q115" s="82"/>
      <c r="R115" s="82"/>
      <c r="S115" s="82"/>
      <c r="T115" s="18"/>
    </row>
    <row r="116" spans="2:20" ht="13.5" thickBot="1">
      <c r="B116" t="s">
        <v>27</v>
      </c>
      <c r="C116" s="7">
        <f t="shared" ref="C116:E116" si="13">+C103+C114</f>
        <v>73942.872000000003</v>
      </c>
      <c r="D116" s="7">
        <f t="shared" si="13"/>
        <v>63141.290000000081</v>
      </c>
      <c r="E116" s="7">
        <f t="shared" si="13"/>
        <v>-245774.19999999998</v>
      </c>
      <c r="F116" s="7">
        <f t="shared" ref="F116:O116" si="14">+F103+F114</f>
        <v>26520.630000000005</v>
      </c>
      <c r="G116" s="7">
        <f t="shared" si="14"/>
        <v>29611.500000000025</v>
      </c>
      <c r="H116" s="7">
        <f t="shared" si="14"/>
        <v>27020.117000000042</v>
      </c>
      <c r="I116" s="7">
        <f t="shared" si="14"/>
        <v>6087.6600000000572</v>
      </c>
      <c r="J116" s="7">
        <f t="shared" si="14"/>
        <v>40951.049999999967</v>
      </c>
      <c r="K116" s="7">
        <f t="shared" si="14"/>
        <v>44965.589999999931</v>
      </c>
      <c r="L116" s="7">
        <f t="shared" si="14"/>
        <v>60605.209999999992</v>
      </c>
      <c r="M116" s="7">
        <f t="shared" si="14"/>
        <v>71372.099999999933</v>
      </c>
      <c r="N116" s="7">
        <f t="shared" si="14"/>
        <v>62479.19</v>
      </c>
      <c r="O116" s="7">
        <f t="shared" si="14"/>
        <v>260923.00899999944</v>
      </c>
      <c r="Q116" s="82"/>
      <c r="R116" s="82"/>
      <c r="S116" s="82"/>
      <c r="T116" s="18"/>
    </row>
    <row r="117" spans="2:20"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Q117" s="82"/>
      <c r="R117" s="82"/>
      <c r="S117" s="82"/>
      <c r="T117" s="18"/>
    </row>
    <row r="118" spans="2:20" ht="13.5" thickBot="1">
      <c r="B118" t="s">
        <v>28</v>
      </c>
      <c r="C118" s="8">
        <f t="shared" ref="C118:E118" si="15">+C116</f>
        <v>73942.872000000003</v>
      </c>
      <c r="D118" s="8">
        <f t="shared" si="15"/>
        <v>63141.290000000081</v>
      </c>
      <c r="E118" s="8">
        <f t="shared" si="15"/>
        <v>-245774.19999999998</v>
      </c>
      <c r="F118" s="8">
        <f t="shared" ref="F118:O118" si="16">+F116</f>
        <v>26520.630000000005</v>
      </c>
      <c r="G118" s="8">
        <f t="shared" si="16"/>
        <v>29611.500000000025</v>
      </c>
      <c r="H118" s="8">
        <f t="shared" si="16"/>
        <v>27020.117000000042</v>
      </c>
      <c r="I118" s="8">
        <f t="shared" si="16"/>
        <v>6087.6600000000572</v>
      </c>
      <c r="J118" s="8">
        <f t="shared" si="16"/>
        <v>40951.049999999967</v>
      </c>
      <c r="K118" s="8">
        <f t="shared" si="16"/>
        <v>44965.589999999931</v>
      </c>
      <c r="L118" s="8">
        <f t="shared" si="16"/>
        <v>60605.209999999992</v>
      </c>
      <c r="M118" s="8">
        <f t="shared" si="16"/>
        <v>71372.099999999933</v>
      </c>
      <c r="N118" s="8">
        <f t="shared" si="16"/>
        <v>62479.19</v>
      </c>
      <c r="O118" s="8">
        <f t="shared" si="16"/>
        <v>260923.00899999944</v>
      </c>
      <c r="Q118" s="82"/>
      <c r="R118" s="82"/>
      <c r="S118" s="82"/>
      <c r="T118" s="18"/>
    </row>
    <row r="119" spans="2:20" ht="13.5" thickTop="1"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Q119" s="82"/>
      <c r="R119" s="82"/>
      <c r="S119" s="82"/>
      <c r="T119" s="18"/>
    </row>
    <row r="120" spans="2:20"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Q120" s="82"/>
      <c r="R120" s="82"/>
      <c r="S120" s="82"/>
      <c r="T120" s="18"/>
    </row>
    <row r="121" spans="2:20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Q121" s="82"/>
      <c r="R121" s="82"/>
      <c r="S121" s="82"/>
      <c r="T121" s="18"/>
    </row>
    <row r="122" spans="2:20"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Q122" s="82"/>
      <c r="R122" s="82"/>
      <c r="S122" s="82"/>
      <c r="T122" s="18"/>
    </row>
    <row r="123" spans="2:20"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Q123" s="82"/>
      <c r="R123" s="82"/>
      <c r="S123" s="82"/>
      <c r="T123" s="18"/>
    </row>
    <row r="124" spans="2:20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Q124" s="82"/>
      <c r="R124" s="82"/>
      <c r="S124" s="82"/>
      <c r="T124" s="18"/>
    </row>
    <row r="125" spans="2:20"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Q125" s="18"/>
      <c r="R125" s="18"/>
      <c r="S125" s="18"/>
      <c r="T125" s="18"/>
    </row>
    <row r="126" spans="2:20"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Q126" s="18"/>
      <c r="R126" s="18"/>
      <c r="S126" s="18"/>
      <c r="T126" s="18"/>
    </row>
    <row r="127" spans="2:20"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Q127" s="18"/>
      <c r="R127" s="18"/>
      <c r="S127" s="18"/>
      <c r="T127" s="18"/>
    </row>
    <row r="128" spans="2:20"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Q128" s="18"/>
      <c r="R128" s="18"/>
      <c r="S128" s="18"/>
      <c r="T128" s="18"/>
    </row>
    <row r="129" spans="3:15"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3:15"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3:15"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3:15"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3:15"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3:15"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</row>
  </sheetData>
  <phoneticPr fontId="0" type="noConversion"/>
  <pageMargins left="0.23" right="0.59" top="0.49" bottom="0.5" header="0.49" footer="0.5"/>
  <pageSetup scale="70" fitToHeight="2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zoomScale="98" zoomScaleNormal="98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I29" sqref="I29"/>
    </sheetView>
  </sheetViews>
  <sheetFormatPr defaultRowHeight="12.75"/>
  <cols>
    <col min="2" max="2" width="10.140625" customWidth="1"/>
    <col min="5" max="5" width="13.42578125" customWidth="1"/>
    <col min="6" max="6" width="11.28515625" customWidth="1"/>
    <col min="7" max="7" width="12.7109375" customWidth="1"/>
    <col min="9" max="9" width="10.28515625" bestFit="1" customWidth="1"/>
    <col min="10" max="10" width="13.28515625" customWidth="1"/>
    <col min="11" max="11" width="10.42578125" customWidth="1"/>
    <col min="15" max="15" width="13.85546875" customWidth="1"/>
    <col min="16" max="16" width="14.28515625" bestFit="1" customWidth="1"/>
    <col min="17" max="17" width="14.7109375" bestFit="1" customWidth="1"/>
    <col min="18" max="18" width="10.42578125" bestFit="1" customWidth="1"/>
  </cols>
  <sheetData>
    <row r="1" spans="1:16" ht="13.5" thickBot="1">
      <c r="A1" t="s">
        <v>0</v>
      </c>
      <c r="G1" t="s">
        <v>462</v>
      </c>
      <c r="J1" t="s">
        <v>461</v>
      </c>
    </row>
    <row r="2" spans="1:16" ht="13.5" thickBot="1">
      <c r="A2" t="s">
        <v>460</v>
      </c>
      <c r="G2" s="10">
        <f ca="1">+H2/E77</f>
        <v>7.1366128223709552E-2</v>
      </c>
      <c r="H2" s="99">
        <f ca="1">+'Staff LG Total Chelan'!M21</f>
        <v>118535.70198684632</v>
      </c>
      <c r="I2" t="s">
        <v>448</v>
      </c>
      <c r="J2" s="770">
        <v>91866</v>
      </c>
      <c r="K2" s="139">
        <f>+J2/E77</f>
        <v>5.5309249664939109E-2</v>
      </c>
      <c r="L2" s="138">
        <v>0</v>
      </c>
      <c r="N2" t="str">
        <f>IF(C77='Service Counts'!I75,"OK","Error")</f>
        <v>OK</v>
      </c>
      <c r="O2" t="s">
        <v>198</v>
      </c>
    </row>
    <row r="3" spans="1:16">
      <c r="A3" s="651" t="s">
        <v>1456</v>
      </c>
      <c r="H3" s="10">
        <f>+K2</f>
        <v>5.5309249664939109E-2</v>
      </c>
      <c r="I3" t="s">
        <v>459</v>
      </c>
    </row>
    <row r="4" spans="1:16">
      <c r="E4" s="643" t="s">
        <v>1342</v>
      </c>
      <c r="F4" s="643" t="s">
        <v>689</v>
      </c>
      <c r="H4" s="10">
        <f>+K2</f>
        <v>5.5309249664939109E-2</v>
      </c>
      <c r="I4" t="s">
        <v>458</v>
      </c>
      <c r="M4" t="s">
        <v>1159</v>
      </c>
    </row>
    <row r="5" spans="1:16">
      <c r="M5" s="437">
        <v>0</v>
      </c>
    </row>
    <row r="6" spans="1:16" ht="13.5" thickBot="1">
      <c r="A6" s="137" t="s">
        <v>457</v>
      </c>
      <c r="B6" s="5"/>
      <c r="C6" s="5"/>
    </row>
    <row r="7" spans="1:16">
      <c r="F7" s="136"/>
      <c r="G7" s="135" t="s">
        <v>454</v>
      </c>
      <c r="H7" s="134"/>
      <c r="I7" s="136"/>
      <c r="J7" s="135" t="s">
        <v>98</v>
      </c>
      <c r="K7" s="134"/>
    </row>
    <row r="8" spans="1:16">
      <c r="C8" s="2" t="s">
        <v>456</v>
      </c>
      <c r="D8" s="93" t="s">
        <v>455</v>
      </c>
      <c r="E8" s="93" t="s">
        <v>452</v>
      </c>
      <c r="F8" s="133" t="s">
        <v>454</v>
      </c>
      <c r="G8" s="93" t="s">
        <v>452</v>
      </c>
      <c r="H8" s="132" t="s">
        <v>451</v>
      </c>
      <c r="I8" s="133" t="s">
        <v>453</v>
      </c>
      <c r="J8" s="93" t="s">
        <v>452</v>
      </c>
      <c r="K8" s="132" t="s">
        <v>451</v>
      </c>
      <c r="M8" s="128"/>
      <c r="O8" s="435" t="s">
        <v>1160</v>
      </c>
      <c r="P8" s="435" t="s">
        <v>1161</v>
      </c>
    </row>
    <row r="9" spans="1:16" ht="13.5" thickBot="1">
      <c r="A9" s="5" t="s">
        <v>450</v>
      </c>
      <c r="B9" s="5"/>
      <c r="C9" s="20" t="s">
        <v>198</v>
      </c>
      <c r="D9" s="131" t="s">
        <v>99</v>
      </c>
      <c r="E9" s="131" t="s">
        <v>2</v>
      </c>
      <c r="F9" s="130" t="s">
        <v>449</v>
      </c>
      <c r="G9" s="20" t="s">
        <v>2</v>
      </c>
      <c r="H9" s="129" t="s">
        <v>448</v>
      </c>
      <c r="I9" s="130" t="s">
        <v>449</v>
      </c>
      <c r="J9" s="20" t="s">
        <v>2</v>
      </c>
      <c r="K9" s="129" t="s">
        <v>448</v>
      </c>
      <c r="M9" s="128"/>
      <c r="O9" s="435" t="s">
        <v>99</v>
      </c>
      <c r="P9" s="435" t="s">
        <v>1162</v>
      </c>
    </row>
    <row r="10" spans="1:16">
      <c r="A10" t="s">
        <v>447</v>
      </c>
      <c r="O10" s="432"/>
      <c r="P10" s="432"/>
    </row>
    <row r="11" spans="1:16">
      <c r="A11" t="s">
        <v>446</v>
      </c>
      <c r="C11" s="122">
        <f>+'Service Counts'!I10</f>
        <v>9</v>
      </c>
      <c r="D11" s="63">
        <f>+'Service Counts'!G10</f>
        <v>16.149999999999999</v>
      </c>
      <c r="E11" s="56">
        <f t="shared" ref="E11:E31" si="0">+C11*D11</f>
        <v>145.35</v>
      </c>
      <c r="F11" s="63">
        <f>+D11*(1+$H$4)</f>
        <v>17.043244382088766</v>
      </c>
      <c r="G11" s="63">
        <f t="shared" ref="G11:G31" si="1">+C11*F11</f>
        <v>153.3891994387989</v>
      </c>
      <c r="H11" s="10">
        <f t="shared" ref="H11:H31" si="2">+IF(C11=0,0,(G11-E11)/E11)</f>
        <v>5.5309249664939136E-2</v>
      </c>
      <c r="I11" s="126">
        <v>17.05</v>
      </c>
      <c r="J11" s="63">
        <f t="shared" ref="J11:J31" si="3">+C11*I11</f>
        <v>153.45000000000002</v>
      </c>
      <c r="K11" s="10">
        <f>+IF(C11=0,0,(J11-E11)/E11)</f>
        <v>5.5727554179566721E-2</v>
      </c>
      <c r="L11" s="63">
        <f>+D11*(1+$L$2)</f>
        <v>16.149999999999999</v>
      </c>
      <c r="M11" s="94">
        <f>(L11-D11)/D11</f>
        <v>0</v>
      </c>
      <c r="N11" s="84"/>
      <c r="O11" s="432">
        <f>ROUND(D11*(1+$M$5),2)</f>
        <v>16.149999999999999</v>
      </c>
      <c r="P11" s="436">
        <f>C11*O11</f>
        <v>145.35</v>
      </c>
    </row>
    <row r="12" spans="1:16">
      <c r="A12" s="398" t="s">
        <v>445</v>
      </c>
      <c r="C12" s="122">
        <f>+'Service Counts'!I11</f>
        <v>31</v>
      </c>
      <c r="D12" s="63">
        <f>+'Service Counts'!G11</f>
        <v>9.5</v>
      </c>
      <c r="E12" s="56">
        <f t="shared" si="0"/>
        <v>294.5</v>
      </c>
      <c r="F12" s="63">
        <f t="shared" ref="F12:F31" si="4">+D12*(1+$H$4)</f>
        <v>10.025437871816923</v>
      </c>
      <c r="G12" s="63">
        <f t="shared" si="1"/>
        <v>310.78857402632462</v>
      </c>
      <c r="H12" s="10">
        <f t="shared" si="2"/>
        <v>5.5309249664939303E-2</v>
      </c>
      <c r="I12" s="126">
        <v>10.050000000000001</v>
      </c>
      <c r="J12" s="53">
        <f t="shared" si="3"/>
        <v>311.55</v>
      </c>
      <c r="K12" s="10">
        <f t="shared" ref="K12:K31" si="5">+IF(C12=0,0,(J12-E12)/E12)</f>
        <v>5.7894736842105304E-2</v>
      </c>
      <c r="L12" s="63">
        <f t="shared" ref="L12:L31" si="6">+D12*(1+$L$2)</f>
        <v>9.5</v>
      </c>
      <c r="M12" s="94">
        <f t="shared" ref="M12:M18" si="7">(L12-D12)/D12</f>
        <v>0</v>
      </c>
      <c r="N12" s="84"/>
      <c r="O12" s="432">
        <f t="shared" ref="O12:O31" si="8">ROUND(D12*(1+$M$5),2)</f>
        <v>9.5</v>
      </c>
      <c r="P12" s="436">
        <f t="shared" ref="P12:P73" si="9">C12*O12</f>
        <v>294.5</v>
      </c>
    </row>
    <row r="13" spans="1:16">
      <c r="A13" s="398" t="s">
        <v>444</v>
      </c>
      <c r="C13" s="122">
        <f>+'Service Counts'!I12</f>
        <v>6</v>
      </c>
      <c r="D13" s="63">
        <f>+'Service Counts'!G12</f>
        <v>13.85</v>
      </c>
      <c r="E13" s="6">
        <f t="shared" si="0"/>
        <v>83.1</v>
      </c>
      <c r="F13" s="63">
        <f t="shared" si="4"/>
        <v>14.616033107859408</v>
      </c>
      <c r="G13" s="53">
        <f t="shared" si="1"/>
        <v>87.69619864715645</v>
      </c>
      <c r="H13" s="10">
        <f t="shared" si="2"/>
        <v>5.5309249664939303E-2</v>
      </c>
      <c r="I13" s="126">
        <v>14.65</v>
      </c>
      <c r="J13" s="53">
        <f t="shared" si="3"/>
        <v>87.9</v>
      </c>
      <c r="K13" s="10">
        <f t="shared" si="5"/>
        <v>5.77617328519857E-2</v>
      </c>
      <c r="L13" s="63">
        <f>+D13*(1+$L$2)</f>
        <v>13.85</v>
      </c>
      <c r="M13" s="94">
        <f t="shared" si="7"/>
        <v>0</v>
      </c>
      <c r="N13" s="84"/>
      <c r="O13" s="432">
        <f t="shared" si="8"/>
        <v>13.85</v>
      </c>
      <c r="P13" s="436">
        <f t="shared" si="9"/>
        <v>83.1</v>
      </c>
    </row>
    <row r="14" spans="1:16">
      <c r="A14" s="398" t="s">
        <v>443</v>
      </c>
      <c r="C14" s="122">
        <f>+'Service Counts'!I13</f>
        <v>2</v>
      </c>
      <c r="D14" s="63">
        <f>+'Service Counts'!G13</f>
        <v>18.2</v>
      </c>
      <c r="E14" s="6">
        <f t="shared" si="0"/>
        <v>36.4</v>
      </c>
      <c r="F14" s="63">
        <f t="shared" si="4"/>
        <v>19.206628343901894</v>
      </c>
      <c r="G14" s="53">
        <f t="shared" si="1"/>
        <v>38.413256687803788</v>
      </c>
      <c r="H14" s="10">
        <f t="shared" si="2"/>
        <v>5.5309249664939268E-2</v>
      </c>
      <c r="I14" s="126">
        <v>19.25</v>
      </c>
      <c r="J14" s="53">
        <f t="shared" si="3"/>
        <v>38.5</v>
      </c>
      <c r="K14" s="10">
        <f t="shared" si="5"/>
        <v>5.769230769230773E-2</v>
      </c>
      <c r="L14" s="63">
        <f t="shared" si="6"/>
        <v>18.2</v>
      </c>
      <c r="M14" s="94">
        <f t="shared" si="7"/>
        <v>0</v>
      </c>
      <c r="N14" s="84"/>
      <c r="O14" s="432">
        <f t="shared" si="8"/>
        <v>18.2</v>
      </c>
      <c r="P14" s="436">
        <f t="shared" si="9"/>
        <v>36.4</v>
      </c>
    </row>
    <row r="15" spans="1:16">
      <c r="A15" t="s">
        <v>442</v>
      </c>
      <c r="C15" s="122">
        <f>+'Service Counts'!I14</f>
        <v>377.85</v>
      </c>
      <c r="D15" s="63">
        <f>+'Service Counts'!G14</f>
        <v>19.850000000000001</v>
      </c>
      <c r="E15" s="6">
        <f t="shared" si="0"/>
        <v>7500.3225000000011</v>
      </c>
      <c r="F15" s="63">
        <f t="shared" si="4"/>
        <v>20.947888605849045</v>
      </c>
      <c r="G15" s="53">
        <f t="shared" si="1"/>
        <v>7915.159709720062</v>
      </c>
      <c r="H15" s="10">
        <f t="shared" si="2"/>
        <v>5.5309249664939178E-2</v>
      </c>
      <c r="I15" s="126">
        <v>20.95</v>
      </c>
      <c r="J15" s="53">
        <f t="shared" si="3"/>
        <v>7915.9575000000004</v>
      </c>
      <c r="K15" s="10">
        <f t="shared" si="5"/>
        <v>5.5415617128463372E-2</v>
      </c>
      <c r="L15" s="63">
        <f t="shared" si="6"/>
        <v>19.850000000000001</v>
      </c>
      <c r="M15" s="94">
        <f t="shared" si="7"/>
        <v>0</v>
      </c>
      <c r="N15" s="84"/>
      <c r="O15" s="432">
        <f t="shared" si="8"/>
        <v>19.850000000000001</v>
      </c>
      <c r="P15" s="436">
        <f t="shared" si="9"/>
        <v>7500.3225000000011</v>
      </c>
    </row>
    <row r="16" spans="1:16">
      <c r="A16" t="s">
        <v>441</v>
      </c>
      <c r="C16" s="122">
        <f>+'Service Counts'!I15</f>
        <v>235.55</v>
      </c>
      <c r="D16" s="63">
        <f>+'Service Counts'!G15</f>
        <v>24.4</v>
      </c>
      <c r="E16" s="6">
        <f t="shared" si="0"/>
        <v>5747.42</v>
      </c>
      <c r="F16" s="63">
        <f t="shared" si="4"/>
        <v>25.749545691824515</v>
      </c>
      <c r="G16" s="53">
        <f t="shared" si="1"/>
        <v>6065.3054877092645</v>
      </c>
      <c r="H16" s="10">
        <f t="shared" si="2"/>
        <v>5.5309249664939129E-2</v>
      </c>
      <c r="I16" s="126">
        <v>25.75</v>
      </c>
      <c r="J16" s="53">
        <f t="shared" si="3"/>
        <v>6065.4125000000004</v>
      </c>
      <c r="K16" s="10">
        <f t="shared" si="5"/>
        <v>5.5327868852459064E-2</v>
      </c>
      <c r="L16" s="63">
        <f t="shared" si="6"/>
        <v>24.4</v>
      </c>
      <c r="M16" s="94">
        <f t="shared" si="7"/>
        <v>0</v>
      </c>
      <c r="N16" s="63"/>
      <c r="O16" s="432">
        <f t="shared" si="8"/>
        <v>24.4</v>
      </c>
      <c r="P16" s="436">
        <f t="shared" si="9"/>
        <v>5747.42</v>
      </c>
    </row>
    <row r="17" spans="1:16">
      <c r="A17" t="s">
        <v>440</v>
      </c>
      <c r="C17" s="122">
        <f>+'Service Counts'!I16</f>
        <v>21.25</v>
      </c>
      <c r="D17" s="63">
        <f>+'Service Counts'!G16</f>
        <v>30.6</v>
      </c>
      <c r="E17" s="6">
        <f t="shared" si="0"/>
        <v>650.25</v>
      </c>
      <c r="F17" s="63">
        <f t="shared" si="4"/>
        <v>32.29246303974714</v>
      </c>
      <c r="G17" s="53">
        <f t="shared" si="1"/>
        <v>686.21483959462671</v>
      </c>
      <c r="H17" s="10">
        <f t="shared" si="2"/>
        <v>5.5309249664939192E-2</v>
      </c>
      <c r="I17" s="126">
        <v>32.299999999999997</v>
      </c>
      <c r="J17" s="53">
        <f t="shared" si="3"/>
        <v>686.37499999999989</v>
      </c>
      <c r="K17" s="10">
        <f t="shared" si="5"/>
        <v>5.5555555555555379E-2</v>
      </c>
      <c r="L17" s="63">
        <f t="shared" si="6"/>
        <v>30.6</v>
      </c>
      <c r="M17" s="94">
        <f t="shared" si="7"/>
        <v>0</v>
      </c>
      <c r="N17" s="63"/>
      <c r="O17" s="432">
        <f t="shared" si="8"/>
        <v>30.6</v>
      </c>
      <c r="P17" s="436">
        <f t="shared" si="9"/>
        <v>650.25</v>
      </c>
    </row>
    <row r="18" spans="1:16">
      <c r="A18" t="s">
        <v>439</v>
      </c>
      <c r="C18" s="122">
        <f>+'Service Counts'!I17</f>
        <v>6</v>
      </c>
      <c r="D18" s="63">
        <f>+'Service Counts'!G17</f>
        <v>37.25</v>
      </c>
      <c r="E18" s="6">
        <f t="shared" si="0"/>
        <v>223.5</v>
      </c>
      <c r="F18" s="63">
        <f t="shared" si="4"/>
        <v>39.310269550018987</v>
      </c>
      <c r="G18" s="53">
        <f t="shared" si="1"/>
        <v>235.86161730011392</v>
      </c>
      <c r="H18" s="10">
        <f t="shared" si="2"/>
        <v>5.530924966493924E-2</v>
      </c>
      <c r="I18" s="126">
        <v>39.299999999999997</v>
      </c>
      <c r="J18" s="53">
        <f t="shared" si="3"/>
        <v>235.79999999999998</v>
      </c>
      <c r="K18" s="10">
        <f>+IF(C18=0,0,(J18-E18)/E18)</f>
        <v>5.5033557046979792E-2</v>
      </c>
      <c r="L18" s="63">
        <f t="shared" si="6"/>
        <v>37.25</v>
      </c>
      <c r="M18" s="94">
        <f t="shared" si="7"/>
        <v>0</v>
      </c>
      <c r="N18" s="63"/>
      <c r="O18" s="432">
        <f t="shared" si="8"/>
        <v>37.25</v>
      </c>
      <c r="P18" s="436">
        <f t="shared" si="9"/>
        <v>223.5</v>
      </c>
    </row>
    <row r="19" spans="1:16">
      <c r="A19" t="s">
        <v>438</v>
      </c>
      <c r="C19" s="122">
        <f>+'Service Counts'!I18</f>
        <v>0</v>
      </c>
      <c r="D19" s="63">
        <f>+'Service Counts'!G18</f>
        <v>42.45</v>
      </c>
      <c r="E19" s="6">
        <f t="shared" si="0"/>
        <v>0</v>
      </c>
      <c r="F19" s="63">
        <f t="shared" si="4"/>
        <v>44.797877648276675</v>
      </c>
      <c r="G19" s="53">
        <f t="shared" si="1"/>
        <v>0</v>
      </c>
      <c r="H19" s="10">
        <f t="shared" si="2"/>
        <v>0</v>
      </c>
      <c r="I19" s="126">
        <v>44.8</v>
      </c>
      <c r="J19" s="53">
        <f t="shared" si="3"/>
        <v>0</v>
      </c>
      <c r="K19" s="434">
        <f t="shared" si="5"/>
        <v>0</v>
      </c>
      <c r="L19" s="63">
        <f>+D19*(1+$L$2)</f>
        <v>42.45</v>
      </c>
      <c r="M19" s="94">
        <f>(L19-D19)/D19</f>
        <v>0</v>
      </c>
      <c r="N19" s="63"/>
      <c r="O19" s="432">
        <f t="shared" si="8"/>
        <v>42.45</v>
      </c>
      <c r="P19" s="436">
        <f t="shared" si="9"/>
        <v>0</v>
      </c>
    </row>
    <row r="20" spans="1:16">
      <c r="A20" t="s">
        <v>437</v>
      </c>
      <c r="C20" s="122">
        <f>+'Service Counts'!I19</f>
        <v>13.2</v>
      </c>
      <c r="D20" s="63">
        <f>+'Service Counts'!G19</f>
        <v>49</v>
      </c>
      <c r="E20" s="6">
        <f t="shared" si="0"/>
        <v>646.79999999999995</v>
      </c>
      <c r="F20" s="63">
        <f t="shared" si="4"/>
        <v>51.71015323358202</v>
      </c>
      <c r="G20" s="53">
        <f t="shared" si="1"/>
        <v>682.57402268328258</v>
      </c>
      <c r="H20" s="10">
        <f t="shared" si="2"/>
        <v>5.5309249664939122E-2</v>
      </c>
      <c r="I20" s="126">
        <v>51.7</v>
      </c>
      <c r="J20" s="53">
        <f t="shared" si="3"/>
        <v>682.44</v>
      </c>
      <c r="K20" s="10">
        <f t="shared" si="5"/>
        <v>5.5102040816326692E-2</v>
      </c>
      <c r="L20" s="63">
        <f t="shared" si="6"/>
        <v>49</v>
      </c>
      <c r="M20" s="94">
        <f t="shared" ref="M20:M31" si="10">(L20-D20)/D20</f>
        <v>0</v>
      </c>
      <c r="N20" s="63"/>
      <c r="O20" s="432">
        <f t="shared" si="8"/>
        <v>49</v>
      </c>
      <c r="P20" s="436">
        <f t="shared" si="9"/>
        <v>646.79999999999995</v>
      </c>
    </row>
    <row r="21" spans="1:16">
      <c r="A21" s="83" t="s">
        <v>436</v>
      </c>
      <c r="C21" s="122">
        <f>+'Service Counts'!I20</f>
        <v>55.2</v>
      </c>
      <c r="D21" s="63">
        <f>+'Service Counts'!G20</f>
        <v>13.15</v>
      </c>
      <c r="E21" s="6">
        <f t="shared" si="0"/>
        <v>725.88000000000011</v>
      </c>
      <c r="F21" s="63">
        <f t="shared" si="4"/>
        <v>13.877316633093951</v>
      </c>
      <c r="G21" s="53">
        <f t="shared" si="1"/>
        <v>766.02787814678618</v>
      </c>
      <c r="H21" s="10">
        <f t="shared" si="2"/>
        <v>5.5309249664939199E-2</v>
      </c>
      <c r="I21" s="126">
        <v>13.9</v>
      </c>
      <c r="J21" s="53">
        <f t="shared" si="3"/>
        <v>767.28000000000009</v>
      </c>
      <c r="K21" s="10">
        <f t="shared" si="5"/>
        <v>5.7034220532319352E-2</v>
      </c>
      <c r="L21" s="63">
        <f t="shared" si="6"/>
        <v>13.15</v>
      </c>
      <c r="M21" s="94">
        <f t="shared" si="10"/>
        <v>0</v>
      </c>
      <c r="N21" s="63"/>
      <c r="O21" s="432">
        <f t="shared" si="8"/>
        <v>13.15</v>
      </c>
      <c r="P21" s="436">
        <f t="shared" si="9"/>
        <v>725.88000000000011</v>
      </c>
    </row>
    <row r="22" spans="1:16">
      <c r="A22" s="83" t="s">
        <v>435</v>
      </c>
      <c r="C22" s="122">
        <f>+'Service Counts'!I21</f>
        <v>6351.45</v>
      </c>
      <c r="D22" s="63">
        <f>+'Service Counts'!G21</f>
        <v>19.850000000000001</v>
      </c>
      <c r="E22" s="6">
        <f t="shared" si="0"/>
        <v>126076.2825</v>
      </c>
      <c r="F22" s="63">
        <f t="shared" si="4"/>
        <v>20.947888605849045</v>
      </c>
      <c r="G22" s="53">
        <f t="shared" si="1"/>
        <v>133049.46708561992</v>
      </c>
      <c r="H22" s="10">
        <f t="shared" si="2"/>
        <v>5.5309249664939331E-2</v>
      </c>
      <c r="I22" s="126">
        <v>21.1</v>
      </c>
      <c r="J22" s="53">
        <f t="shared" si="3"/>
        <v>134015.595</v>
      </c>
      <c r="K22" s="10">
        <f t="shared" si="5"/>
        <v>6.2972292191435769E-2</v>
      </c>
      <c r="L22" s="63">
        <f t="shared" si="6"/>
        <v>19.850000000000001</v>
      </c>
      <c r="M22" s="94">
        <f t="shared" si="10"/>
        <v>0</v>
      </c>
      <c r="N22" s="63"/>
      <c r="O22" s="432">
        <f t="shared" si="8"/>
        <v>19.850000000000001</v>
      </c>
      <c r="P22" s="436">
        <f t="shared" si="9"/>
        <v>126076.2825</v>
      </c>
    </row>
    <row r="23" spans="1:16">
      <c r="A23" t="s">
        <v>434</v>
      </c>
      <c r="C23" s="122">
        <f>+'Service Counts'!I22</f>
        <v>33</v>
      </c>
      <c r="D23" s="63">
        <f>+'Service Counts'!G22</f>
        <v>14.25</v>
      </c>
      <c r="E23" s="6">
        <f t="shared" si="0"/>
        <v>470.25</v>
      </c>
      <c r="F23" s="63">
        <f t="shared" si="4"/>
        <v>15.038156807725384</v>
      </c>
      <c r="G23" s="53">
        <f t="shared" si="1"/>
        <v>496.25917465493768</v>
      </c>
      <c r="H23" s="10">
        <f t="shared" si="2"/>
        <v>5.5309249664939247E-2</v>
      </c>
      <c r="I23" s="126">
        <v>15.05</v>
      </c>
      <c r="J23" s="53">
        <f t="shared" si="3"/>
        <v>496.65000000000003</v>
      </c>
      <c r="K23" s="10">
        <f t="shared" si="5"/>
        <v>5.6140350877193053E-2</v>
      </c>
      <c r="L23" s="63">
        <f t="shared" si="6"/>
        <v>14.25</v>
      </c>
      <c r="M23" s="94">
        <f t="shared" si="10"/>
        <v>0</v>
      </c>
      <c r="N23" s="84"/>
      <c r="O23" s="432">
        <f t="shared" si="8"/>
        <v>14.25</v>
      </c>
      <c r="P23" s="436">
        <f t="shared" si="9"/>
        <v>470.25</v>
      </c>
    </row>
    <row r="24" spans="1:16">
      <c r="A24" t="s">
        <v>433</v>
      </c>
      <c r="C24" s="122">
        <f>+'Service Counts'!I23</f>
        <v>10987.949999999999</v>
      </c>
      <c r="D24" s="63">
        <f>+'Service Counts'!G23</f>
        <v>24.4</v>
      </c>
      <c r="E24" s="6">
        <f t="shared" si="0"/>
        <v>268105.98</v>
      </c>
      <c r="F24" s="63">
        <f t="shared" si="4"/>
        <v>25.749545691824515</v>
      </c>
      <c r="G24" s="53">
        <f t="shared" si="1"/>
        <v>282934.72058448318</v>
      </c>
      <c r="H24" s="10">
        <f t="shared" si="2"/>
        <v>5.5309249664939206E-2</v>
      </c>
      <c r="I24" s="126">
        <v>25.75</v>
      </c>
      <c r="J24" s="53">
        <f t="shared" si="3"/>
        <v>282939.71249999997</v>
      </c>
      <c r="K24" s="10">
        <f t="shared" si="5"/>
        <v>5.532786885245896E-2</v>
      </c>
      <c r="L24" s="63">
        <f t="shared" si="6"/>
        <v>24.4</v>
      </c>
      <c r="M24" s="94">
        <f t="shared" si="10"/>
        <v>0</v>
      </c>
      <c r="N24" s="84"/>
      <c r="O24" s="432">
        <f t="shared" si="8"/>
        <v>24.4</v>
      </c>
      <c r="P24" s="436">
        <f t="shared" si="9"/>
        <v>268105.98</v>
      </c>
    </row>
    <row r="25" spans="1:16">
      <c r="A25" t="s">
        <v>432</v>
      </c>
      <c r="C25" s="122">
        <f>+'Service Counts'!I24</f>
        <v>11644.5</v>
      </c>
      <c r="D25" s="63">
        <f>+'Service Counts'!G24</f>
        <v>30.6</v>
      </c>
      <c r="E25" s="6">
        <f t="shared" si="0"/>
        <v>356321.7</v>
      </c>
      <c r="F25" s="63">
        <f t="shared" si="4"/>
        <v>32.29246303974714</v>
      </c>
      <c r="G25" s="53">
        <f t="shared" si="1"/>
        <v>376029.5858663356</v>
      </c>
      <c r="H25" s="10">
        <f t="shared" si="2"/>
        <v>5.5309249664939275E-2</v>
      </c>
      <c r="I25" s="126">
        <v>32.299999999999997</v>
      </c>
      <c r="J25" s="53">
        <f t="shared" si="3"/>
        <v>376117.35</v>
      </c>
      <c r="K25" s="10">
        <f t="shared" si="5"/>
        <v>5.5555555555555455E-2</v>
      </c>
      <c r="L25" s="63">
        <f t="shared" si="6"/>
        <v>30.6</v>
      </c>
      <c r="M25" s="94">
        <f t="shared" si="10"/>
        <v>0</v>
      </c>
      <c r="N25" s="84"/>
      <c r="O25" s="432">
        <f t="shared" si="8"/>
        <v>30.6</v>
      </c>
      <c r="P25" s="436">
        <f t="shared" si="9"/>
        <v>356321.7</v>
      </c>
    </row>
    <row r="26" spans="1:16">
      <c r="A26" t="s">
        <v>431</v>
      </c>
      <c r="C26" s="122">
        <f>+'Service Counts'!I26</f>
        <v>1802</v>
      </c>
      <c r="D26" s="63">
        <f>+'Service Counts'!G26</f>
        <v>4.3499999999999996</v>
      </c>
      <c r="E26" s="6">
        <f t="shared" si="0"/>
        <v>7838.6999999999989</v>
      </c>
      <c r="F26" s="63">
        <f t="shared" si="4"/>
        <v>4.5905952360424855</v>
      </c>
      <c r="G26" s="53">
        <f t="shared" si="1"/>
        <v>8272.2526153485596</v>
      </c>
      <c r="H26" s="10">
        <f t="shared" si="2"/>
        <v>5.5309249664939442E-2</v>
      </c>
      <c r="I26" s="126">
        <v>4.5999999999999996</v>
      </c>
      <c r="J26" s="53">
        <f t="shared" si="3"/>
        <v>8289.1999999999989</v>
      </c>
      <c r="K26" s="10">
        <f t="shared" si="5"/>
        <v>5.7471264367816098E-2</v>
      </c>
      <c r="L26" s="63">
        <f t="shared" si="6"/>
        <v>4.3499999999999996</v>
      </c>
      <c r="M26" s="94">
        <f t="shared" si="10"/>
        <v>0</v>
      </c>
      <c r="N26" s="84"/>
      <c r="O26" s="432">
        <f t="shared" si="8"/>
        <v>4.3499999999999996</v>
      </c>
      <c r="P26" s="436">
        <f t="shared" si="9"/>
        <v>7838.6999999999989</v>
      </c>
    </row>
    <row r="27" spans="1:16">
      <c r="A27" t="s">
        <v>430</v>
      </c>
      <c r="C27" s="122">
        <f>+'Service Counts'!I27</f>
        <v>0</v>
      </c>
      <c r="D27" s="63">
        <f>+'Service Counts'!G27</f>
        <v>3.25</v>
      </c>
      <c r="E27" s="6">
        <f t="shared" si="0"/>
        <v>0</v>
      </c>
      <c r="F27" s="63">
        <f t="shared" si="4"/>
        <v>3.4297550614110524</v>
      </c>
      <c r="G27" s="53">
        <f t="shared" si="1"/>
        <v>0</v>
      </c>
      <c r="H27" s="10">
        <f t="shared" si="2"/>
        <v>0</v>
      </c>
      <c r="I27" s="126">
        <v>3.75</v>
      </c>
      <c r="J27" s="53">
        <f t="shared" si="3"/>
        <v>0</v>
      </c>
      <c r="K27" s="434">
        <f t="shared" si="5"/>
        <v>0</v>
      </c>
      <c r="L27" s="63">
        <f t="shared" si="6"/>
        <v>3.25</v>
      </c>
      <c r="M27" s="94">
        <f t="shared" si="10"/>
        <v>0</v>
      </c>
      <c r="N27" s="84"/>
      <c r="O27" s="432">
        <f t="shared" si="8"/>
        <v>3.25</v>
      </c>
      <c r="P27" s="436">
        <f t="shared" si="9"/>
        <v>0</v>
      </c>
    </row>
    <row r="28" spans="1:16">
      <c r="A28" t="s">
        <v>429</v>
      </c>
      <c r="C28" s="122">
        <f>+'Service Counts'!I28</f>
        <v>0</v>
      </c>
      <c r="D28" s="63">
        <f>+'Service Counts'!G28</f>
        <v>1.95</v>
      </c>
      <c r="E28" s="6">
        <f t="shared" si="0"/>
        <v>0</v>
      </c>
      <c r="F28" s="63">
        <f t="shared" si="4"/>
        <v>2.0578530368466312</v>
      </c>
      <c r="G28" s="53">
        <f t="shared" si="1"/>
        <v>0</v>
      </c>
      <c r="H28" s="10">
        <f t="shared" si="2"/>
        <v>0</v>
      </c>
      <c r="I28" s="126">
        <v>2.2000000000000002</v>
      </c>
      <c r="J28" s="53">
        <f t="shared" si="3"/>
        <v>0</v>
      </c>
      <c r="K28" s="434">
        <f t="shared" si="5"/>
        <v>0</v>
      </c>
      <c r="L28" s="63">
        <f t="shared" si="6"/>
        <v>1.95</v>
      </c>
      <c r="M28" s="94">
        <f t="shared" si="10"/>
        <v>0</v>
      </c>
      <c r="N28" s="84"/>
      <c r="O28" s="432">
        <f t="shared" si="8"/>
        <v>1.95</v>
      </c>
      <c r="P28" s="436">
        <f t="shared" si="9"/>
        <v>0</v>
      </c>
    </row>
    <row r="29" spans="1:16">
      <c r="A29" t="s">
        <v>428</v>
      </c>
      <c r="C29" s="122">
        <f>+'Service Counts'!I29</f>
        <v>104.5</v>
      </c>
      <c r="D29" s="63">
        <f>+'Service Counts'!G29</f>
        <v>13.9</v>
      </c>
      <c r="E29" s="6">
        <f t="shared" si="0"/>
        <v>1452.55</v>
      </c>
      <c r="F29" s="63">
        <f t="shared" si="4"/>
        <v>14.668798570342656</v>
      </c>
      <c r="G29" s="53">
        <f t="shared" si="1"/>
        <v>1532.8894506008075</v>
      </c>
      <c r="H29" s="10">
        <f t="shared" si="2"/>
        <v>5.530924966493931E-2</v>
      </c>
      <c r="I29" s="126">
        <v>15.65</v>
      </c>
      <c r="J29" s="53">
        <f t="shared" si="3"/>
        <v>1635.425</v>
      </c>
      <c r="K29" s="10">
        <f t="shared" si="5"/>
        <v>0.12589928057553956</v>
      </c>
      <c r="L29" s="63">
        <f t="shared" si="6"/>
        <v>13.9</v>
      </c>
      <c r="M29" s="94">
        <f t="shared" si="10"/>
        <v>0</v>
      </c>
      <c r="N29" s="84"/>
      <c r="O29" s="432">
        <f t="shared" si="8"/>
        <v>13.9</v>
      </c>
      <c r="P29" s="436">
        <f t="shared" si="9"/>
        <v>1452.55</v>
      </c>
    </row>
    <row r="30" spans="1:16">
      <c r="A30" t="s">
        <v>427</v>
      </c>
      <c r="C30" s="122">
        <f>+'Service Counts'!I30</f>
        <v>527.75</v>
      </c>
      <c r="D30" s="63">
        <f>+'Service Counts'!G30</f>
        <v>22.4</v>
      </c>
      <c r="E30" s="6">
        <f t="shared" si="0"/>
        <v>11821.599999999999</v>
      </c>
      <c r="F30" s="63">
        <f t="shared" si="4"/>
        <v>23.638927192494638</v>
      </c>
      <c r="G30" s="53">
        <f t="shared" si="1"/>
        <v>12475.443825839046</v>
      </c>
      <c r="H30" s="10">
        <f t="shared" si="2"/>
        <v>5.5309249664939351E-2</v>
      </c>
      <c r="I30" s="126">
        <v>23.65</v>
      </c>
      <c r="J30" s="53">
        <f t="shared" si="3"/>
        <v>12481.287499999999</v>
      </c>
      <c r="K30" s="10">
        <f t="shared" si="5"/>
        <v>5.5803571428571438E-2</v>
      </c>
      <c r="L30" s="63">
        <f t="shared" si="6"/>
        <v>22.4</v>
      </c>
      <c r="M30" s="94">
        <f t="shared" si="10"/>
        <v>0</v>
      </c>
      <c r="N30" s="84"/>
      <c r="O30" s="432">
        <f t="shared" si="8"/>
        <v>22.4</v>
      </c>
      <c r="P30" s="436">
        <f t="shared" si="9"/>
        <v>11821.599999999999</v>
      </c>
    </row>
    <row r="31" spans="1:16">
      <c r="A31" t="s">
        <v>426</v>
      </c>
      <c r="C31" s="122">
        <f>+'Service Counts'!I31</f>
        <v>0</v>
      </c>
      <c r="D31" s="63">
        <f>+'Service Counts'!G31</f>
        <v>13.5</v>
      </c>
      <c r="E31" s="43">
        <f t="shared" si="0"/>
        <v>0</v>
      </c>
      <c r="F31" s="63">
        <f t="shared" si="4"/>
        <v>14.24667487047668</v>
      </c>
      <c r="G31" s="57">
        <f t="shared" si="1"/>
        <v>0</v>
      </c>
      <c r="H31" s="10">
        <f t="shared" si="2"/>
        <v>0</v>
      </c>
      <c r="I31" s="126">
        <v>14.25</v>
      </c>
      <c r="J31" s="57">
        <f t="shared" si="3"/>
        <v>0</v>
      </c>
      <c r="K31" s="434">
        <f t="shared" si="5"/>
        <v>0</v>
      </c>
      <c r="L31" s="63">
        <f t="shared" si="6"/>
        <v>13.5</v>
      </c>
      <c r="M31" s="94">
        <f t="shared" si="10"/>
        <v>0</v>
      </c>
      <c r="N31" s="84"/>
      <c r="O31" s="432">
        <f t="shared" si="8"/>
        <v>13.5</v>
      </c>
      <c r="P31" s="436">
        <f t="shared" si="9"/>
        <v>0</v>
      </c>
    </row>
    <row r="32" spans="1:16">
      <c r="C32" s="122"/>
      <c r="D32" s="63"/>
      <c r="E32" s="56">
        <f>SUM(E11:E31)</f>
        <v>788140.58499999996</v>
      </c>
      <c r="G32" s="56">
        <f>SUM(G11:G31)</f>
        <v>831732.04938683624</v>
      </c>
      <c r="I32" s="127"/>
      <c r="J32" s="56">
        <f>SUM(J11:J31)</f>
        <v>832919.88499999989</v>
      </c>
      <c r="K32" s="125">
        <f>(+J32-E32)/E32</f>
        <v>5.681638638111744E-2</v>
      </c>
      <c r="N32" s="84"/>
      <c r="O32" s="432"/>
      <c r="P32" s="436"/>
    </row>
    <row r="33" spans="1:16">
      <c r="A33" t="s">
        <v>425</v>
      </c>
      <c r="C33" s="122"/>
      <c r="D33" s="63"/>
      <c r="I33" s="127"/>
      <c r="J33" s="53"/>
      <c r="N33" s="84"/>
      <c r="O33" s="432"/>
      <c r="P33" s="436"/>
    </row>
    <row r="34" spans="1:16">
      <c r="A34" t="s">
        <v>424</v>
      </c>
      <c r="C34" s="122">
        <f>+'Service Counts'!I34</f>
        <v>7843</v>
      </c>
      <c r="D34" s="63">
        <f>+'Service Counts'!G34</f>
        <v>17.8</v>
      </c>
      <c r="E34" s="6">
        <f t="shared" ref="E34:E50" si="11">+C34*D34</f>
        <v>139605.4</v>
      </c>
      <c r="F34" s="63">
        <f t="shared" ref="F34:F50" si="12">+D34*(1+$H$4)</f>
        <v>18.78450464403592</v>
      </c>
      <c r="G34" s="53">
        <f t="shared" ref="G34:G50" si="13">+C34*F34</f>
        <v>147326.86992317371</v>
      </c>
      <c r="H34" s="10">
        <f t="shared" ref="H34:H50" si="14">+IF(C34=0,0,(G34-E34)/E34)</f>
        <v>5.530924966493931E-2</v>
      </c>
      <c r="I34" s="126">
        <v>18.8</v>
      </c>
      <c r="J34" s="53">
        <f t="shared" ref="J34:J50" si="15">+C34*I34</f>
        <v>147448.4</v>
      </c>
      <c r="K34" s="10">
        <f t="shared" ref="K34:K50" si="16">+IF(C34=0,0,(J34-E34)/E34)</f>
        <v>5.6179775280898882E-2</v>
      </c>
      <c r="L34" s="63">
        <f t="shared" ref="L34:L50" si="17">+D34*(1+$L$2)</f>
        <v>17.8</v>
      </c>
      <c r="N34" s="84"/>
      <c r="O34" s="432">
        <f t="shared" ref="O34:O50" si="18">ROUND(D34*(1+$M$5),2)</f>
        <v>17.8</v>
      </c>
      <c r="P34" s="436">
        <f t="shared" si="9"/>
        <v>139605.4</v>
      </c>
    </row>
    <row r="35" spans="1:16">
      <c r="A35" s="643" t="s">
        <v>1417</v>
      </c>
      <c r="C35" s="122">
        <f>+'Service Counts'!I35</f>
        <v>521</v>
      </c>
      <c r="D35" s="63">
        <f>+'Service Counts'!G35</f>
        <v>22.4</v>
      </c>
      <c r="E35" s="6">
        <f t="shared" ref="E35" si="19">+C35*D35</f>
        <v>11670.4</v>
      </c>
      <c r="F35" s="63">
        <f t="shared" ref="F35" si="20">+D35*(1+$H$4)</f>
        <v>23.638927192494638</v>
      </c>
      <c r="G35" s="53">
        <f t="shared" ref="G35" si="21">+C35*F35</f>
        <v>12315.881067289707</v>
      </c>
      <c r="H35" s="10">
        <f t="shared" ref="H35" si="22">+IF(C35=0,0,(G35-E35)/E35)</f>
        <v>5.5309249664939289E-2</v>
      </c>
      <c r="I35" s="126">
        <v>23.65</v>
      </c>
      <c r="J35" s="53">
        <f t="shared" ref="J35" si="23">+C35*I35</f>
        <v>12321.65</v>
      </c>
      <c r="K35" s="10">
        <f t="shared" ref="K35" si="24">+IF(C35=0,0,(J35-E35)/E35)</f>
        <v>5.5803571428571432E-2</v>
      </c>
      <c r="L35" s="63">
        <f t="shared" ref="L35" si="25">+D35*(1+$L$2)</f>
        <v>22.4</v>
      </c>
      <c r="N35" s="84"/>
      <c r="O35" s="432">
        <f t="shared" ref="O35" si="26">ROUND(D35*(1+$M$5),2)</f>
        <v>22.4</v>
      </c>
      <c r="P35" s="436">
        <f t="shared" ref="P35" si="27">C35*O35</f>
        <v>11670.4</v>
      </c>
    </row>
    <row r="36" spans="1:16">
      <c r="A36" t="s">
        <v>423</v>
      </c>
      <c r="C36" s="122">
        <f>+'Service Counts'!I36</f>
        <v>2304</v>
      </c>
      <c r="D36" s="63">
        <f>+'Service Counts'!G36</f>
        <v>23.15</v>
      </c>
      <c r="E36" s="6">
        <f t="shared" si="11"/>
        <v>53337.599999999999</v>
      </c>
      <c r="F36" s="63">
        <f t="shared" si="12"/>
        <v>24.430409129743342</v>
      </c>
      <c r="G36" s="53">
        <f t="shared" si="13"/>
        <v>56287.66263492866</v>
      </c>
      <c r="H36" s="10">
        <f t="shared" si="14"/>
        <v>5.5309249664939206E-2</v>
      </c>
      <c r="I36" s="126">
        <v>24.45</v>
      </c>
      <c r="J36" s="53">
        <f t="shared" si="15"/>
        <v>56332.799999999996</v>
      </c>
      <c r="K36" s="10">
        <f t="shared" si="16"/>
        <v>5.6155507559395197E-2</v>
      </c>
      <c r="L36" s="63">
        <f t="shared" si="17"/>
        <v>23.15</v>
      </c>
      <c r="N36" s="84"/>
      <c r="O36" s="432">
        <f t="shared" si="18"/>
        <v>23.15</v>
      </c>
      <c r="P36" s="436">
        <f t="shared" si="9"/>
        <v>53337.599999999999</v>
      </c>
    </row>
    <row r="37" spans="1:16">
      <c r="A37" t="s">
        <v>422</v>
      </c>
      <c r="C37" s="122">
        <f>+'Service Counts'!I37</f>
        <v>8087</v>
      </c>
      <c r="D37" s="63">
        <f>+'Service Counts'!G37</f>
        <v>28.5</v>
      </c>
      <c r="E37" s="6">
        <f t="shared" si="11"/>
        <v>230479.5</v>
      </c>
      <c r="F37" s="63">
        <f t="shared" si="12"/>
        <v>30.076313615450768</v>
      </c>
      <c r="G37" s="53">
        <f t="shared" si="13"/>
        <v>243227.14820815038</v>
      </c>
      <c r="H37" s="10">
        <f t="shared" si="14"/>
        <v>5.5309249664939303E-2</v>
      </c>
      <c r="I37" s="126">
        <v>30.1</v>
      </c>
      <c r="J37" s="53">
        <f t="shared" si="15"/>
        <v>243418.7</v>
      </c>
      <c r="K37" s="10">
        <f t="shared" si="16"/>
        <v>5.6140350877193032E-2</v>
      </c>
      <c r="L37" s="63">
        <f t="shared" si="17"/>
        <v>28.5</v>
      </c>
      <c r="N37" s="84"/>
      <c r="O37" s="432">
        <f t="shared" si="18"/>
        <v>28.5</v>
      </c>
      <c r="P37" s="436">
        <f t="shared" si="9"/>
        <v>230479.5</v>
      </c>
    </row>
    <row r="38" spans="1:16">
      <c r="A38" s="643" t="s">
        <v>1418</v>
      </c>
      <c r="C38" s="122">
        <f>+'Service Counts'!I38</f>
        <v>127</v>
      </c>
      <c r="D38" s="63">
        <f>+'Service Counts'!G38</f>
        <v>34.549999999999997</v>
      </c>
      <c r="E38" s="6">
        <f t="shared" ref="E38" si="28">+C38*D38</f>
        <v>4387.8499999999995</v>
      </c>
      <c r="F38" s="63">
        <f t="shared" ref="F38" si="29">+D38*(1+$H$4)</f>
        <v>36.460934575923645</v>
      </c>
      <c r="G38" s="53">
        <f t="shared" ref="G38" si="30">+C38*F38</f>
        <v>4630.5386911423029</v>
      </c>
      <c r="H38" s="10">
        <f t="shared" ref="H38" si="31">+IF(C38=0,0,(G38-E38)/E38)</f>
        <v>5.5309249664939206E-2</v>
      </c>
      <c r="I38" s="126">
        <v>36.450000000000003</v>
      </c>
      <c r="J38" s="53">
        <f t="shared" ref="J38" si="32">+C38*I38</f>
        <v>4629.1500000000005</v>
      </c>
      <c r="K38" s="10">
        <f t="shared" ref="K38" si="33">+IF(C38=0,0,(J38-E38)/E38)</f>
        <v>5.4992764109985784E-2</v>
      </c>
      <c r="L38" s="63">
        <f t="shared" ref="L38" si="34">+D38*(1+$L$2)</f>
        <v>34.549999999999997</v>
      </c>
      <c r="N38" s="84"/>
      <c r="O38" s="432">
        <f t="shared" ref="O38" si="35">ROUND(D38*(1+$M$5),2)</f>
        <v>34.549999999999997</v>
      </c>
      <c r="P38" s="436">
        <f t="shared" ref="P38" si="36">C38*O38</f>
        <v>4387.8499999999995</v>
      </c>
    </row>
    <row r="39" spans="1:16">
      <c r="A39" t="s">
        <v>421</v>
      </c>
      <c r="C39" s="122">
        <f>+'Service Counts'!I39</f>
        <v>765</v>
      </c>
      <c r="D39" s="63">
        <f>+'Service Counts'!G39</f>
        <v>39.950000000000003</v>
      </c>
      <c r="E39" s="6">
        <f t="shared" si="11"/>
        <v>30561.750000000004</v>
      </c>
      <c r="F39" s="63">
        <f t="shared" si="12"/>
        <v>42.159604524114322</v>
      </c>
      <c r="G39" s="53">
        <f t="shared" si="13"/>
        <v>32252.097460947454</v>
      </c>
      <c r="H39" s="10">
        <f t="shared" si="14"/>
        <v>5.5309249664939032E-2</v>
      </c>
      <c r="I39" s="126">
        <v>42.15</v>
      </c>
      <c r="J39" s="53">
        <f t="shared" si="15"/>
        <v>32244.75</v>
      </c>
      <c r="K39" s="10">
        <f t="shared" si="16"/>
        <v>5.5068836045056198E-2</v>
      </c>
      <c r="L39" s="63">
        <f t="shared" si="17"/>
        <v>39.950000000000003</v>
      </c>
      <c r="N39" s="84"/>
      <c r="O39" s="432">
        <f t="shared" si="18"/>
        <v>39.950000000000003</v>
      </c>
      <c r="P39" s="436">
        <f t="shared" si="9"/>
        <v>30561.750000000004</v>
      </c>
    </row>
    <row r="40" spans="1:16">
      <c r="A40" t="s">
        <v>420</v>
      </c>
      <c r="C40" s="122">
        <f>+'Service Counts'!I40</f>
        <v>2165</v>
      </c>
      <c r="D40" s="63">
        <f>+'Service Counts'!G40</f>
        <v>52.6</v>
      </c>
      <c r="E40" s="6">
        <f t="shared" si="11"/>
        <v>113879</v>
      </c>
      <c r="F40" s="63">
        <f t="shared" si="12"/>
        <v>55.509266532375804</v>
      </c>
      <c r="G40" s="53">
        <f t="shared" si="13"/>
        <v>120177.56204259362</v>
      </c>
      <c r="H40" s="10">
        <f t="shared" si="14"/>
        <v>5.5309249664939289E-2</v>
      </c>
      <c r="I40" s="126">
        <v>55.5</v>
      </c>
      <c r="J40" s="53">
        <f t="shared" si="15"/>
        <v>120157.5</v>
      </c>
      <c r="K40" s="10">
        <f t="shared" si="16"/>
        <v>5.5133079847908745E-2</v>
      </c>
      <c r="L40" s="63">
        <f t="shared" si="17"/>
        <v>52.6</v>
      </c>
      <c r="N40" s="84"/>
      <c r="O40" s="432">
        <f t="shared" si="18"/>
        <v>52.6</v>
      </c>
      <c r="P40" s="436">
        <f t="shared" si="9"/>
        <v>113879</v>
      </c>
    </row>
    <row r="41" spans="1:16">
      <c r="A41" t="s">
        <v>419</v>
      </c>
      <c r="C41" s="122">
        <f>+'Service Counts'!I41</f>
        <v>2181</v>
      </c>
      <c r="D41" s="63">
        <f>+'Service Counts'!G41</f>
        <v>77.25</v>
      </c>
      <c r="E41" s="6">
        <f t="shared" si="11"/>
        <v>168482.25</v>
      </c>
      <c r="F41" s="63">
        <f t="shared" si="12"/>
        <v>81.522639536616552</v>
      </c>
      <c r="G41" s="53">
        <f t="shared" si="13"/>
        <v>177800.8768293607</v>
      </c>
      <c r="H41" s="10">
        <f t="shared" si="14"/>
        <v>5.5309249664939178E-2</v>
      </c>
      <c r="I41" s="126">
        <v>81.55</v>
      </c>
      <c r="J41" s="53">
        <f t="shared" si="15"/>
        <v>177860.55</v>
      </c>
      <c r="K41" s="10">
        <f t="shared" si="16"/>
        <v>5.5663430420711903E-2</v>
      </c>
      <c r="L41" s="63">
        <f t="shared" si="17"/>
        <v>77.25</v>
      </c>
      <c r="N41" s="84"/>
      <c r="O41" s="432">
        <f t="shared" si="18"/>
        <v>77.25</v>
      </c>
      <c r="P41" s="436">
        <f t="shared" si="9"/>
        <v>168482.25</v>
      </c>
    </row>
    <row r="42" spans="1:16">
      <c r="A42" t="s">
        <v>418</v>
      </c>
      <c r="C42" s="122">
        <f>+'Service Counts'!I42</f>
        <v>0</v>
      </c>
      <c r="D42" s="63">
        <f>+'Service Counts'!G42</f>
        <v>88.14</v>
      </c>
      <c r="E42" s="6">
        <f t="shared" si="11"/>
        <v>0</v>
      </c>
      <c r="F42" s="63">
        <f t="shared" si="12"/>
        <v>93.014957265467743</v>
      </c>
      <c r="G42" s="53">
        <f t="shared" si="13"/>
        <v>0</v>
      </c>
      <c r="H42" s="10">
        <f t="shared" si="14"/>
        <v>0</v>
      </c>
      <c r="I42" s="126"/>
      <c r="J42" s="53">
        <f t="shared" si="15"/>
        <v>0</v>
      </c>
      <c r="K42" s="434">
        <f t="shared" si="16"/>
        <v>0</v>
      </c>
      <c r="L42" s="63">
        <f t="shared" si="17"/>
        <v>88.14</v>
      </c>
      <c r="N42" s="84"/>
      <c r="O42" s="432">
        <f t="shared" si="18"/>
        <v>88.14</v>
      </c>
      <c r="P42" s="436">
        <f t="shared" si="9"/>
        <v>0</v>
      </c>
    </row>
    <row r="43" spans="1:16">
      <c r="A43" t="s">
        <v>417</v>
      </c>
      <c r="C43" s="122">
        <f>+'Service Counts'!I43</f>
        <v>84</v>
      </c>
      <c r="D43" s="63">
        <f>+'Service Counts'!G43</f>
        <v>10.15</v>
      </c>
      <c r="E43" s="6">
        <f t="shared" si="11"/>
        <v>852.6</v>
      </c>
      <c r="F43" s="63">
        <f t="shared" si="12"/>
        <v>10.711388884099133</v>
      </c>
      <c r="G43" s="53">
        <f t="shared" si="13"/>
        <v>899.75666626432712</v>
      </c>
      <c r="H43" s="10">
        <f t="shared" si="14"/>
        <v>5.5309249664939129E-2</v>
      </c>
      <c r="I43" s="126">
        <v>10.7</v>
      </c>
      <c r="J43" s="53">
        <f t="shared" si="15"/>
        <v>898.8</v>
      </c>
      <c r="K43" s="10">
        <f t="shared" si="16"/>
        <v>5.4187192118226521E-2</v>
      </c>
      <c r="L43" s="63">
        <f t="shared" si="17"/>
        <v>10.15</v>
      </c>
      <c r="N43" s="84"/>
      <c r="O43" s="432">
        <f t="shared" si="18"/>
        <v>10.15</v>
      </c>
      <c r="P43" s="436">
        <f t="shared" si="9"/>
        <v>852.6</v>
      </c>
    </row>
    <row r="44" spans="1:16">
      <c r="A44" t="s">
        <v>416</v>
      </c>
      <c r="C44" s="122">
        <f>+'Service Counts'!I44</f>
        <v>13</v>
      </c>
      <c r="D44" s="63">
        <f>+'Service Counts'!G44</f>
        <v>13.3</v>
      </c>
      <c r="E44" s="6">
        <f t="shared" si="11"/>
        <v>172.9</v>
      </c>
      <c r="F44" s="63">
        <f t="shared" si="12"/>
        <v>14.035613020543693</v>
      </c>
      <c r="G44" s="53">
        <f t="shared" si="13"/>
        <v>182.46296926706799</v>
      </c>
      <c r="H44" s="10">
        <f t="shared" si="14"/>
        <v>5.5309249664939178E-2</v>
      </c>
      <c r="I44" s="126">
        <v>14.05</v>
      </c>
      <c r="J44" s="53">
        <f t="shared" si="15"/>
        <v>182.65</v>
      </c>
      <c r="K44" s="10">
        <f t="shared" si="16"/>
        <v>5.6390977443609019E-2</v>
      </c>
      <c r="L44" s="63">
        <f t="shared" si="17"/>
        <v>13.3</v>
      </c>
      <c r="N44" s="84"/>
      <c r="O44" s="432">
        <f t="shared" si="18"/>
        <v>13.3</v>
      </c>
      <c r="P44" s="436">
        <f t="shared" si="9"/>
        <v>172.9</v>
      </c>
    </row>
    <row r="45" spans="1:16">
      <c r="A45" t="s">
        <v>415</v>
      </c>
      <c r="C45" s="122">
        <f>+'Service Counts'!I45</f>
        <v>47</v>
      </c>
      <c r="D45" s="63">
        <f>+'Service Counts'!G45</f>
        <v>17.600000000000001</v>
      </c>
      <c r="E45" s="6">
        <f t="shared" si="11"/>
        <v>827.2</v>
      </c>
      <c r="F45" s="63">
        <f t="shared" si="12"/>
        <v>18.573442794102931</v>
      </c>
      <c r="G45" s="53">
        <f t="shared" si="13"/>
        <v>872.95181132283778</v>
      </c>
      <c r="H45" s="10">
        <f t="shared" si="14"/>
        <v>5.5309249664939233E-2</v>
      </c>
      <c r="I45" s="126">
        <v>18.600000000000001</v>
      </c>
      <c r="J45" s="53">
        <f t="shared" si="15"/>
        <v>874.2</v>
      </c>
      <c r="K45" s="10">
        <f t="shared" si="16"/>
        <v>5.6818181818181816E-2</v>
      </c>
      <c r="L45" s="63">
        <f t="shared" si="17"/>
        <v>17.600000000000001</v>
      </c>
      <c r="N45" s="84"/>
      <c r="O45" s="432">
        <f t="shared" si="18"/>
        <v>17.600000000000001</v>
      </c>
      <c r="P45" s="436">
        <f t="shared" si="9"/>
        <v>827.2</v>
      </c>
    </row>
    <row r="46" spans="1:16">
      <c r="A46" t="s">
        <v>414</v>
      </c>
      <c r="C46" s="122">
        <f>+'Service Counts'!I46</f>
        <v>0</v>
      </c>
      <c r="D46" s="63">
        <f>+'Service Counts'!G46</f>
        <v>19.45</v>
      </c>
      <c r="E46" s="6">
        <f t="shared" si="11"/>
        <v>0</v>
      </c>
      <c r="F46" s="63">
        <f t="shared" si="12"/>
        <v>20.525764905983067</v>
      </c>
      <c r="G46" s="53">
        <f t="shared" si="13"/>
        <v>0</v>
      </c>
      <c r="H46" s="10">
        <f t="shared" si="14"/>
        <v>0</v>
      </c>
      <c r="I46" s="126">
        <v>20.55</v>
      </c>
      <c r="J46" s="53">
        <f t="shared" si="15"/>
        <v>0</v>
      </c>
      <c r="K46" s="10">
        <f t="shared" si="16"/>
        <v>0</v>
      </c>
      <c r="L46" s="63">
        <f t="shared" si="17"/>
        <v>19.45</v>
      </c>
      <c r="N46" s="84"/>
      <c r="O46" s="432">
        <f t="shared" si="18"/>
        <v>19.45</v>
      </c>
      <c r="P46" s="436">
        <f t="shared" si="9"/>
        <v>0</v>
      </c>
    </row>
    <row r="47" spans="1:16">
      <c r="A47" t="s">
        <v>413</v>
      </c>
      <c r="C47" s="122">
        <f>+'Service Counts'!I47</f>
        <v>14</v>
      </c>
      <c r="D47" s="63">
        <f>+'Service Counts'!G47</f>
        <v>19.45</v>
      </c>
      <c r="E47" s="6">
        <f t="shared" si="11"/>
        <v>272.3</v>
      </c>
      <c r="F47" s="63">
        <f t="shared" si="12"/>
        <v>20.525764905983067</v>
      </c>
      <c r="G47" s="53">
        <f t="shared" si="13"/>
        <v>287.36070868376294</v>
      </c>
      <c r="H47" s="10">
        <f t="shared" si="14"/>
        <v>5.5309249664939129E-2</v>
      </c>
      <c r="I47" s="126">
        <v>20.55</v>
      </c>
      <c r="J47" s="53">
        <f t="shared" si="15"/>
        <v>287.7</v>
      </c>
      <c r="K47" s="10">
        <f t="shared" si="16"/>
        <v>5.6555269922879091E-2</v>
      </c>
      <c r="L47" s="63">
        <f t="shared" si="17"/>
        <v>19.45</v>
      </c>
      <c r="N47" s="84"/>
      <c r="O47" s="432">
        <f t="shared" si="18"/>
        <v>19.45</v>
      </c>
      <c r="P47" s="436">
        <f t="shared" si="9"/>
        <v>272.3</v>
      </c>
    </row>
    <row r="48" spans="1:16">
      <c r="A48" t="s">
        <v>412</v>
      </c>
      <c r="C48" s="122">
        <f>+'Service Counts'!I48</f>
        <v>5</v>
      </c>
      <c r="D48" s="63">
        <f>+'Service Counts'!G48</f>
        <v>22.4</v>
      </c>
      <c r="E48" s="6">
        <f t="shared" si="11"/>
        <v>112</v>
      </c>
      <c r="F48" s="63">
        <f t="shared" si="12"/>
        <v>23.638927192494638</v>
      </c>
      <c r="G48" s="53">
        <f t="shared" si="13"/>
        <v>118.19463596247319</v>
      </c>
      <c r="H48" s="10">
        <f t="shared" si="14"/>
        <v>5.5309249664939157E-2</v>
      </c>
      <c r="I48" s="126">
        <v>23.65</v>
      </c>
      <c r="J48" s="53">
        <f t="shared" si="15"/>
        <v>118.25</v>
      </c>
      <c r="K48" s="10">
        <f t="shared" si="16"/>
        <v>5.5803571428571432E-2</v>
      </c>
      <c r="L48" s="63">
        <f t="shared" si="17"/>
        <v>22.4</v>
      </c>
      <c r="N48" s="84"/>
      <c r="O48" s="432">
        <f t="shared" si="18"/>
        <v>22.4</v>
      </c>
      <c r="P48" s="436">
        <f t="shared" si="9"/>
        <v>112</v>
      </c>
    </row>
    <row r="49" spans="1:16">
      <c r="A49" t="s">
        <v>411</v>
      </c>
      <c r="C49" s="122">
        <f>+'Service Counts'!I49</f>
        <v>104</v>
      </c>
      <c r="D49" s="63">
        <f>+'Service Counts'!G49</f>
        <v>2.85</v>
      </c>
      <c r="E49" s="6">
        <f t="shared" si="11"/>
        <v>296.40000000000003</v>
      </c>
      <c r="F49" s="63">
        <f t="shared" si="12"/>
        <v>3.0076313615450769</v>
      </c>
      <c r="G49" s="53">
        <f t="shared" si="13"/>
        <v>312.79366160068798</v>
      </c>
      <c r="H49" s="10">
        <f t="shared" si="14"/>
        <v>5.5309249664939095E-2</v>
      </c>
      <c r="I49" s="126">
        <v>3</v>
      </c>
      <c r="J49" s="53">
        <f t="shared" si="15"/>
        <v>312</v>
      </c>
      <c r="K49" s="10">
        <f t="shared" si="16"/>
        <v>5.26315789473683E-2</v>
      </c>
      <c r="L49" s="63">
        <f t="shared" si="17"/>
        <v>2.85</v>
      </c>
      <c r="N49" s="84"/>
      <c r="O49" s="432">
        <f t="shared" si="18"/>
        <v>2.85</v>
      </c>
      <c r="P49" s="436">
        <f t="shared" si="9"/>
        <v>296.40000000000003</v>
      </c>
    </row>
    <row r="50" spans="1:16">
      <c r="A50" t="s">
        <v>410</v>
      </c>
      <c r="C50" s="122">
        <f>+'Service Counts'!I50</f>
        <v>5691</v>
      </c>
      <c r="D50" s="63">
        <f>+'Service Counts'!G50</f>
        <v>1.65</v>
      </c>
      <c r="E50" s="43">
        <f t="shared" si="11"/>
        <v>9390.15</v>
      </c>
      <c r="F50" s="63">
        <f t="shared" si="12"/>
        <v>1.7412602619471496</v>
      </c>
      <c r="G50" s="57">
        <f t="shared" si="13"/>
        <v>9909.5121507412277</v>
      </c>
      <c r="H50" s="10">
        <f t="shared" si="14"/>
        <v>5.5309249664939122E-2</v>
      </c>
      <c r="I50" s="126">
        <v>1.75</v>
      </c>
      <c r="J50" s="57">
        <f t="shared" si="15"/>
        <v>9959.25</v>
      </c>
      <c r="K50" s="10">
        <f t="shared" si="16"/>
        <v>6.0606060606060649E-2</v>
      </c>
      <c r="L50" s="63">
        <f t="shared" si="17"/>
        <v>1.65</v>
      </c>
      <c r="N50" s="84"/>
      <c r="O50" s="432">
        <f t="shared" si="18"/>
        <v>1.65</v>
      </c>
      <c r="P50" s="436">
        <f t="shared" si="9"/>
        <v>9390.15</v>
      </c>
    </row>
    <row r="51" spans="1:16">
      <c r="C51" s="122"/>
      <c r="D51" s="63"/>
      <c r="E51" s="6">
        <f>SUM(E34:E50)</f>
        <v>764327.3</v>
      </c>
      <c r="G51" s="6">
        <f>SUM(G34:G50)</f>
        <v>806601.66946142889</v>
      </c>
      <c r="I51" s="127"/>
      <c r="J51" s="6">
        <f>SUM(J34:J50)</f>
        <v>807046.35</v>
      </c>
      <c r="K51" s="125">
        <f>(+J51-E51)/E51</f>
        <v>5.5891043012594115E-2</v>
      </c>
      <c r="N51" s="84"/>
      <c r="O51" s="432"/>
      <c r="P51" s="436"/>
    </row>
    <row r="52" spans="1:16">
      <c r="A52" t="s">
        <v>409</v>
      </c>
      <c r="C52" s="122"/>
      <c r="D52" s="63"/>
      <c r="I52" s="127"/>
      <c r="J52" s="53"/>
      <c r="N52" s="84"/>
      <c r="O52" s="432"/>
      <c r="P52" s="436"/>
    </row>
    <row r="53" spans="1:16">
      <c r="A53" t="s">
        <v>408</v>
      </c>
      <c r="C53" s="122">
        <f>+'Service Counts'!I53</f>
        <v>58</v>
      </c>
      <c r="D53" s="63">
        <f>+'Service Counts'!G53</f>
        <v>114.5</v>
      </c>
      <c r="E53" s="6">
        <f t="shared" ref="E53:E68" si="37">+C53*D53</f>
        <v>6641</v>
      </c>
      <c r="F53" s="63">
        <f t="shared" ref="F53:F68" si="38">+D53*(1+$H$4)</f>
        <v>120.83290908663554</v>
      </c>
      <c r="G53" s="53">
        <f t="shared" ref="G53:G68" si="39">+C53*F53</f>
        <v>7008.3087270248616</v>
      </c>
      <c r="H53" s="10">
        <f t="shared" ref="H53:H68" si="40">+IF(C53=0,0,(G53-E53)/E53)</f>
        <v>5.5309249664939254E-2</v>
      </c>
      <c r="I53" s="126">
        <v>120.85</v>
      </c>
      <c r="J53" s="53">
        <f t="shared" ref="J53:J68" si="41">+C53*I53</f>
        <v>7009.2999999999993</v>
      </c>
      <c r="K53" s="10">
        <f t="shared" ref="K53:K68" si="42">+IF(C53=0,0,(J53-E53)/E53)</f>
        <v>5.5458515283842685E-2</v>
      </c>
      <c r="L53" s="63">
        <f t="shared" ref="L53:L68" si="43">+D53*(1+$L$2)</f>
        <v>114.5</v>
      </c>
      <c r="N53" s="84"/>
      <c r="O53" s="432">
        <f t="shared" ref="O53:O68" si="44">ROUND(D53*(1+$M$5),2)</f>
        <v>114.5</v>
      </c>
      <c r="P53" s="436">
        <f t="shared" si="9"/>
        <v>6641</v>
      </c>
    </row>
    <row r="54" spans="1:16">
      <c r="A54" t="s">
        <v>407</v>
      </c>
      <c r="C54" s="122">
        <f>+'Service Counts'!I54</f>
        <v>75</v>
      </c>
      <c r="D54" s="63">
        <f>+'Service Counts'!G54</f>
        <v>139.5</v>
      </c>
      <c r="E54" s="6">
        <f t="shared" si="37"/>
        <v>10462.5</v>
      </c>
      <c r="F54" s="63">
        <f t="shared" si="38"/>
        <v>147.21564032825901</v>
      </c>
      <c r="G54" s="53">
        <f t="shared" si="39"/>
        <v>11041.173024619426</v>
      </c>
      <c r="H54" s="10">
        <f>+IF(C54=0,0,(G54-E54)/E54)</f>
        <v>5.5309249664939129E-2</v>
      </c>
      <c r="I54" s="126">
        <v>147.19999999999999</v>
      </c>
      <c r="J54" s="53">
        <f t="shared" si="41"/>
        <v>11040</v>
      </c>
      <c r="K54" s="10">
        <f t="shared" si="42"/>
        <v>5.5197132616487454E-2</v>
      </c>
      <c r="L54" s="63">
        <f t="shared" si="43"/>
        <v>139.5</v>
      </c>
      <c r="N54" s="84"/>
      <c r="O54" s="432">
        <f t="shared" si="44"/>
        <v>139.5</v>
      </c>
      <c r="P54" s="436">
        <f t="shared" si="9"/>
        <v>10462.5</v>
      </c>
    </row>
    <row r="55" spans="1:16">
      <c r="A55" t="s">
        <v>406</v>
      </c>
      <c r="C55" s="122">
        <f>+'Service Counts'!I55</f>
        <v>208</v>
      </c>
      <c r="D55" s="63">
        <f>+'Service Counts'!G55</f>
        <v>150.5</v>
      </c>
      <c r="E55" s="6">
        <f t="shared" si="37"/>
        <v>31304</v>
      </c>
      <c r="F55" s="63">
        <f t="shared" si="38"/>
        <v>158.82404207457336</v>
      </c>
      <c r="G55" s="53">
        <f t="shared" si="39"/>
        <v>33035.400751511261</v>
      </c>
      <c r="H55" s="10">
        <f t="shared" si="40"/>
        <v>5.5309249664939331E-2</v>
      </c>
      <c r="I55" s="126">
        <v>158.85</v>
      </c>
      <c r="J55" s="53">
        <f t="shared" si="41"/>
        <v>33040.799999999996</v>
      </c>
      <c r="K55" s="10">
        <f t="shared" si="42"/>
        <v>5.5481727574750693E-2</v>
      </c>
      <c r="L55" s="63">
        <f t="shared" si="43"/>
        <v>150.5</v>
      </c>
      <c r="N55" s="84"/>
      <c r="O55" s="432">
        <f t="shared" si="44"/>
        <v>150.5</v>
      </c>
      <c r="P55" s="436">
        <f t="shared" si="9"/>
        <v>31304</v>
      </c>
    </row>
    <row r="56" spans="1:16">
      <c r="A56" t="s">
        <v>405</v>
      </c>
      <c r="C56" s="122">
        <f>+'Service Counts'!I56</f>
        <v>0</v>
      </c>
      <c r="D56" s="63">
        <f>+'Service Counts'!G56</f>
        <v>0</v>
      </c>
      <c r="E56" s="6">
        <f t="shared" si="37"/>
        <v>0</v>
      </c>
      <c r="F56" s="63">
        <f t="shared" si="38"/>
        <v>0</v>
      </c>
      <c r="G56" s="53">
        <f t="shared" si="39"/>
        <v>0</v>
      </c>
      <c r="H56" s="10">
        <f t="shared" si="40"/>
        <v>0</v>
      </c>
      <c r="I56" s="126">
        <v>0</v>
      </c>
      <c r="J56" s="53">
        <f t="shared" si="41"/>
        <v>0</v>
      </c>
      <c r="K56" s="10">
        <f t="shared" si="42"/>
        <v>0</v>
      </c>
      <c r="L56" s="63">
        <f t="shared" si="43"/>
        <v>0</v>
      </c>
      <c r="N56" s="84"/>
      <c r="O56" s="432">
        <f t="shared" si="44"/>
        <v>0</v>
      </c>
      <c r="P56" s="436">
        <f t="shared" si="9"/>
        <v>0</v>
      </c>
    </row>
    <row r="57" spans="1:16">
      <c r="A57" t="s">
        <v>404</v>
      </c>
      <c r="C57" s="122">
        <f>+'Service Counts'!I57</f>
        <v>1147</v>
      </c>
      <c r="D57" s="63">
        <f>+'Service Counts'!G57</f>
        <v>3.35</v>
      </c>
      <c r="E57" s="6">
        <f t="shared" si="37"/>
        <v>3842.4500000000003</v>
      </c>
      <c r="F57" s="63">
        <f t="shared" si="38"/>
        <v>3.5352859863775463</v>
      </c>
      <c r="G57" s="53">
        <f t="shared" si="39"/>
        <v>4054.9730263750457</v>
      </c>
      <c r="H57" s="10">
        <f t="shared" si="40"/>
        <v>5.530924966493915E-2</v>
      </c>
      <c r="I57" s="126">
        <v>3.55</v>
      </c>
      <c r="J57" s="53">
        <f t="shared" si="41"/>
        <v>4071.85</v>
      </c>
      <c r="K57" s="10">
        <f>+IF(C57=0,0,(J57-E57)/E57)</f>
        <v>5.9701492537313335E-2</v>
      </c>
      <c r="L57" s="63">
        <f t="shared" si="43"/>
        <v>3.35</v>
      </c>
      <c r="N57" s="84"/>
      <c r="O57" s="432">
        <f t="shared" si="44"/>
        <v>3.35</v>
      </c>
      <c r="P57" s="436">
        <f t="shared" si="9"/>
        <v>3842.4500000000003</v>
      </c>
    </row>
    <row r="58" spans="1:16">
      <c r="A58" t="s">
        <v>403</v>
      </c>
      <c r="C58" s="122">
        <f>+'Service Counts'!I58</f>
        <v>2753</v>
      </c>
      <c r="D58" s="63">
        <f>+'Service Counts'!G58</f>
        <v>3.85</v>
      </c>
      <c r="E58" s="6">
        <f t="shared" si="37"/>
        <v>10599.050000000001</v>
      </c>
      <c r="F58" s="63">
        <f t="shared" si="38"/>
        <v>4.0629406112100162</v>
      </c>
      <c r="G58" s="53">
        <f t="shared" si="39"/>
        <v>11185.275502661174</v>
      </c>
      <c r="H58" s="10">
        <f t="shared" si="40"/>
        <v>5.5309249664939102E-2</v>
      </c>
      <c r="I58" s="126">
        <v>4.05</v>
      </c>
      <c r="J58" s="53">
        <f t="shared" si="41"/>
        <v>11149.65</v>
      </c>
      <c r="K58" s="10">
        <f t="shared" si="42"/>
        <v>5.1948051948051806E-2</v>
      </c>
      <c r="L58" s="63">
        <f t="shared" si="43"/>
        <v>3.85</v>
      </c>
      <c r="N58" s="84"/>
      <c r="O58" s="432">
        <f t="shared" si="44"/>
        <v>3.85</v>
      </c>
      <c r="P58" s="436">
        <f t="shared" si="9"/>
        <v>10599.050000000001</v>
      </c>
    </row>
    <row r="59" spans="1:16">
      <c r="A59" t="s">
        <v>402</v>
      </c>
      <c r="C59" s="122">
        <f>+'Service Counts'!I59</f>
        <v>3569</v>
      </c>
      <c r="D59" s="63">
        <f>+'Service Counts'!G59</f>
        <v>4.5999999999999996</v>
      </c>
      <c r="E59" s="6">
        <f t="shared" si="37"/>
        <v>16417.399999999998</v>
      </c>
      <c r="F59" s="63">
        <f t="shared" si="38"/>
        <v>4.8544225484587198</v>
      </c>
      <c r="G59" s="53">
        <f t="shared" si="39"/>
        <v>17325.434075449171</v>
      </c>
      <c r="H59" s="10">
        <f t="shared" si="40"/>
        <v>5.5309249664939254E-2</v>
      </c>
      <c r="I59" s="126">
        <v>4.8499999999999996</v>
      </c>
      <c r="J59" s="53">
        <f t="shared" si="41"/>
        <v>17309.649999999998</v>
      </c>
      <c r="K59" s="10">
        <f t="shared" si="42"/>
        <v>5.4347826086956527E-2</v>
      </c>
      <c r="L59" s="63">
        <f t="shared" si="43"/>
        <v>4.5999999999999996</v>
      </c>
      <c r="N59" s="84"/>
      <c r="O59" s="432">
        <f t="shared" si="44"/>
        <v>4.5999999999999996</v>
      </c>
      <c r="P59" s="436">
        <f t="shared" si="9"/>
        <v>16417.399999999998</v>
      </c>
    </row>
    <row r="60" spans="1:16">
      <c r="A60" t="s">
        <v>401</v>
      </c>
      <c r="C60" s="122">
        <f>+'Service Counts'!I60</f>
        <v>0</v>
      </c>
      <c r="D60" s="63">
        <f>+'Service Counts'!G60</f>
        <v>0</v>
      </c>
      <c r="E60" s="6">
        <f t="shared" si="37"/>
        <v>0</v>
      </c>
      <c r="F60" s="63">
        <f t="shared" si="38"/>
        <v>0</v>
      </c>
      <c r="G60" s="53">
        <f t="shared" si="39"/>
        <v>0</v>
      </c>
      <c r="H60" s="10">
        <f t="shared" si="40"/>
        <v>0</v>
      </c>
      <c r="I60" s="126">
        <v>0</v>
      </c>
      <c r="J60" s="53">
        <f t="shared" si="41"/>
        <v>0</v>
      </c>
      <c r="K60" s="10">
        <f t="shared" si="42"/>
        <v>0</v>
      </c>
      <c r="L60" s="63">
        <f t="shared" si="43"/>
        <v>0</v>
      </c>
      <c r="N60" s="84"/>
      <c r="O60" s="432">
        <f t="shared" si="44"/>
        <v>0</v>
      </c>
      <c r="P60" s="436">
        <f t="shared" si="9"/>
        <v>0</v>
      </c>
    </row>
    <row r="61" spans="1:16">
      <c r="A61" t="s">
        <v>400</v>
      </c>
      <c r="C61" s="122">
        <f>+'Service Counts'!I61</f>
        <v>32</v>
      </c>
      <c r="D61" s="63">
        <f>+'Service Counts'!G61</f>
        <v>42.75</v>
      </c>
      <c r="E61" s="6">
        <f t="shared" si="37"/>
        <v>1368</v>
      </c>
      <c r="F61" s="63">
        <f t="shared" si="38"/>
        <v>45.114470423176151</v>
      </c>
      <c r="G61" s="53">
        <f t="shared" si="39"/>
        <v>1443.6630535416368</v>
      </c>
      <c r="H61" s="10">
        <f t="shared" si="40"/>
        <v>5.5309249664939199E-2</v>
      </c>
      <c r="I61" s="126">
        <v>49.75</v>
      </c>
      <c r="J61" s="53">
        <f t="shared" si="41"/>
        <v>1592</v>
      </c>
      <c r="K61" s="10">
        <f t="shared" si="42"/>
        <v>0.16374269005847952</v>
      </c>
      <c r="L61" s="63">
        <f t="shared" si="43"/>
        <v>42.75</v>
      </c>
      <c r="N61" s="84"/>
      <c r="O61" s="432">
        <f t="shared" si="44"/>
        <v>42.75</v>
      </c>
      <c r="P61" s="436">
        <f t="shared" si="9"/>
        <v>1368</v>
      </c>
    </row>
    <row r="62" spans="1:16">
      <c r="A62" t="s">
        <v>399</v>
      </c>
      <c r="C62" s="122">
        <f>+'Service Counts'!I62</f>
        <v>26</v>
      </c>
      <c r="D62" s="63">
        <f>+'Service Counts'!G62</f>
        <v>42.75</v>
      </c>
      <c r="E62" s="6">
        <f t="shared" si="37"/>
        <v>1111.5</v>
      </c>
      <c r="F62" s="63">
        <f t="shared" si="38"/>
        <v>45.114470423176151</v>
      </c>
      <c r="G62" s="53">
        <f t="shared" si="39"/>
        <v>1172.9762310025799</v>
      </c>
      <c r="H62" s="10">
        <f t="shared" si="40"/>
        <v>5.5309249664939164E-2</v>
      </c>
      <c r="I62" s="126">
        <v>49.75</v>
      </c>
      <c r="J62" s="53">
        <f t="shared" si="41"/>
        <v>1293.5</v>
      </c>
      <c r="K62" s="10">
        <f t="shared" si="42"/>
        <v>0.16374269005847952</v>
      </c>
      <c r="L62" s="63">
        <f t="shared" si="43"/>
        <v>42.75</v>
      </c>
      <c r="N62" s="84"/>
      <c r="O62" s="432">
        <f t="shared" si="44"/>
        <v>42.75</v>
      </c>
      <c r="P62" s="436">
        <f t="shared" si="9"/>
        <v>1111.5</v>
      </c>
    </row>
    <row r="63" spans="1:16">
      <c r="A63" t="s">
        <v>398</v>
      </c>
      <c r="C63" s="122">
        <f>+'Service Counts'!I63</f>
        <v>42</v>
      </c>
      <c r="D63" s="63">
        <f>+'Service Counts'!G63</f>
        <v>42.75</v>
      </c>
      <c r="E63" s="6">
        <f t="shared" si="37"/>
        <v>1795.5</v>
      </c>
      <c r="F63" s="63">
        <f t="shared" si="38"/>
        <v>45.114470423176151</v>
      </c>
      <c r="G63" s="53">
        <f t="shared" si="39"/>
        <v>1894.8077577733984</v>
      </c>
      <c r="H63" s="10">
        <f t="shared" si="40"/>
        <v>5.530924966493924E-2</v>
      </c>
      <c r="I63" s="126">
        <v>49.75</v>
      </c>
      <c r="J63" s="53">
        <f t="shared" si="41"/>
        <v>2089.5</v>
      </c>
      <c r="K63" s="10">
        <f t="shared" si="42"/>
        <v>0.16374269005847952</v>
      </c>
      <c r="L63" s="63">
        <f t="shared" si="43"/>
        <v>42.75</v>
      </c>
      <c r="N63" s="84"/>
      <c r="O63" s="432">
        <f t="shared" si="44"/>
        <v>42.75</v>
      </c>
      <c r="P63" s="436">
        <f t="shared" si="9"/>
        <v>1795.5</v>
      </c>
    </row>
    <row r="64" spans="1:16">
      <c r="A64" t="s">
        <v>397</v>
      </c>
      <c r="C64" s="122">
        <f>+'Service Counts'!I64</f>
        <v>0</v>
      </c>
      <c r="D64" s="63">
        <f>+'Service Counts'!G64</f>
        <v>0</v>
      </c>
      <c r="E64" s="6">
        <f t="shared" si="37"/>
        <v>0</v>
      </c>
      <c r="F64" s="63">
        <f t="shared" si="38"/>
        <v>0</v>
      </c>
      <c r="G64" s="53">
        <f t="shared" si="39"/>
        <v>0</v>
      </c>
      <c r="H64" s="10">
        <f t="shared" si="40"/>
        <v>0</v>
      </c>
      <c r="I64" s="126">
        <v>0</v>
      </c>
      <c r="J64" s="53">
        <f t="shared" si="41"/>
        <v>0</v>
      </c>
      <c r="K64" s="10">
        <f t="shared" si="42"/>
        <v>0</v>
      </c>
      <c r="L64" s="63">
        <f t="shared" si="43"/>
        <v>0</v>
      </c>
      <c r="N64" s="84"/>
      <c r="O64" s="432">
        <f t="shared" si="44"/>
        <v>0</v>
      </c>
      <c r="P64" s="436">
        <f t="shared" si="9"/>
        <v>0</v>
      </c>
    </row>
    <row r="65" spans="1:18">
      <c r="A65" t="s">
        <v>396</v>
      </c>
      <c r="C65" s="122">
        <f>+'Service Counts'!I65</f>
        <v>255</v>
      </c>
      <c r="D65" s="63">
        <f>+'Service Counts'!G65</f>
        <v>2.4500000000000002</v>
      </c>
      <c r="E65" s="6">
        <f t="shared" si="37"/>
        <v>624.75</v>
      </c>
      <c r="F65" s="63">
        <f t="shared" si="38"/>
        <v>2.5855076616791011</v>
      </c>
      <c r="G65" s="53">
        <f t="shared" si="39"/>
        <v>659.30445372817076</v>
      </c>
      <c r="H65" s="10">
        <f t="shared" si="40"/>
        <v>5.5309249664939185E-2</v>
      </c>
      <c r="I65" s="126">
        <v>2.6</v>
      </c>
      <c r="J65" s="53">
        <f t="shared" si="41"/>
        <v>663</v>
      </c>
      <c r="K65" s="10">
        <f t="shared" si="42"/>
        <v>6.1224489795918366E-2</v>
      </c>
      <c r="L65" s="63">
        <f t="shared" si="43"/>
        <v>2.4500000000000002</v>
      </c>
      <c r="N65" s="84"/>
      <c r="O65" s="432">
        <f t="shared" si="44"/>
        <v>2.4500000000000002</v>
      </c>
      <c r="P65" s="436">
        <f t="shared" si="9"/>
        <v>624.75</v>
      </c>
    </row>
    <row r="66" spans="1:18">
      <c r="A66" t="s">
        <v>395</v>
      </c>
      <c r="C66" s="122">
        <f>+'Service Counts'!I66</f>
        <v>27</v>
      </c>
      <c r="D66" s="63">
        <f>+'Service Counts'!G66</f>
        <v>30.9</v>
      </c>
      <c r="E66" s="6">
        <f t="shared" si="37"/>
        <v>834.3</v>
      </c>
      <c r="F66" s="63">
        <f t="shared" si="38"/>
        <v>32.609055814646624</v>
      </c>
      <c r="G66" s="53">
        <f t="shared" si="39"/>
        <v>880.44450699545882</v>
      </c>
      <c r="H66" s="10">
        <f t="shared" si="40"/>
        <v>5.5309249664939317E-2</v>
      </c>
      <c r="I66" s="126">
        <v>32.6</v>
      </c>
      <c r="J66" s="53">
        <f t="shared" si="41"/>
        <v>880.2</v>
      </c>
      <c r="K66" s="10">
        <f t="shared" si="42"/>
        <v>5.5016181229773573E-2</v>
      </c>
      <c r="L66" s="63">
        <f t="shared" si="43"/>
        <v>30.9</v>
      </c>
      <c r="N66" s="84"/>
      <c r="O66" s="432">
        <f t="shared" si="44"/>
        <v>30.9</v>
      </c>
      <c r="P66" s="436">
        <f t="shared" si="9"/>
        <v>834.3</v>
      </c>
    </row>
    <row r="67" spans="1:18">
      <c r="A67" t="s">
        <v>394</v>
      </c>
      <c r="C67" s="122">
        <f>+'Service Counts'!I67</f>
        <v>0</v>
      </c>
      <c r="D67" s="63">
        <f>+'Service Counts'!G67</f>
        <v>177.5</v>
      </c>
      <c r="E67" s="6">
        <f t="shared" si="37"/>
        <v>0</v>
      </c>
      <c r="F67" s="63">
        <f t="shared" si="38"/>
        <v>187.31739181552672</v>
      </c>
      <c r="G67" s="53">
        <f t="shared" si="39"/>
        <v>0</v>
      </c>
      <c r="H67" s="10">
        <f t="shared" si="40"/>
        <v>0</v>
      </c>
      <c r="I67" s="126">
        <v>187.3</v>
      </c>
      <c r="J67" s="53">
        <f t="shared" si="41"/>
        <v>0</v>
      </c>
      <c r="K67" s="10">
        <f t="shared" si="42"/>
        <v>0</v>
      </c>
      <c r="L67" s="63">
        <f t="shared" si="43"/>
        <v>177.5</v>
      </c>
      <c r="N67" s="84"/>
      <c r="O67" s="432">
        <f t="shared" si="44"/>
        <v>177.5</v>
      </c>
      <c r="P67" s="436">
        <f t="shared" si="9"/>
        <v>0</v>
      </c>
    </row>
    <row r="68" spans="1:18">
      <c r="A68" t="s">
        <v>393</v>
      </c>
      <c r="C68" s="122">
        <f>+'Service Counts'!I68</f>
        <v>90</v>
      </c>
      <c r="D68" s="63">
        <f>+'Service Counts'!G68</f>
        <v>215.5</v>
      </c>
      <c r="E68" s="43">
        <f t="shared" si="37"/>
        <v>19395</v>
      </c>
      <c r="F68" s="63">
        <f t="shared" si="38"/>
        <v>227.4191433027944</v>
      </c>
      <c r="G68" s="57">
        <f t="shared" si="39"/>
        <v>20467.722897251497</v>
      </c>
      <c r="H68" s="10">
        <f t="shared" si="40"/>
        <v>5.5309249664939247E-2</v>
      </c>
      <c r="I68" s="126">
        <v>227.45</v>
      </c>
      <c r="J68" s="57">
        <f t="shared" si="41"/>
        <v>20470.5</v>
      </c>
      <c r="K68" s="10">
        <f t="shared" si="42"/>
        <v>5.5452436194895594E-2</v>
      </c>
      <c r="L68" s="63">
        <f t="shared" si="43"/>
        <v>215.5</v>
      </c>
      <c r="N68" s="84"/>
      <c r="O68" s="432">
        <f t="shared" si="44"/>
        <v>215.5</v>
      </c>
      <c r="P68" s="436">
        <f t="shared" si="9"/>
        <v>19395</v>
      </c>
    </row>
    <row r="69" spans="1:18">
      <c r="C69" s="122"/>
      <c r="D69" s="63"/>
      <c r="E69" s="6">
        <f>SUM(E53:E68)</f>
        <v>104395.45</v>
      </c>
      <c r="G69" s="6">
        <f>SUM(G53:G68)</f>
        <v>110169.48400793367</v>
      </c>
      <c r="I69" s="127"/>
      <c r="J69" s="6">
        <f>SUM(J53:J68)</f>
        <v>110609.94999999998</v>
      </c>
      <c r="K69" s="125">
        <f>(+J69-E69)/E69</f>
        <v>5.9528456460506522E-2</v>
      </c>
      <c r="N69" s="84"/>
      <c r="O69" s="432"/>
      <c r="P69" s="436"/>
    </row>
    <row r="70" spans="1:18">
      <c r="A70" t="s">
        <v>392</v>
      </c>
      <c r="C70" s="122"/>
      <c r="D70" s="63"/>
      <c r="I70" s="127"/>
      <c r="J70" s="53"/>
      <c r="N70" s="84"/>
      <c r="O70" s="432"/>
      <c r="P70" s="436"/>
    </row>
    <row r="71" spans="1:18">
      <c r="A71" t="s">
        <v>391</v>
      </c>
      <c r="C71" s="122"/>
      <c r="D71" s="63"/>
      <c r="I71" s="127"/>
      <c r="J71" s="53"/>
      <c r="N71" s="84"/>
      <c r="O71" s="432"/>
      <c r="P71" s="436"/>
    </row>
    <row r="72" spans="1:18">
      <c r="A72" t="s">
        <v>390</v>
      </c>
      <c r="C72" s="122">
        <f>+'Service Counts'!I72</f>
        <v>29.5</v>
      </c>
      <c r="D72" s="63">
        <f>+'Service Counts'!G72</f>
        <v>138</v>
      </c>
      <c r="E72" s="6">
        <f>+C72*D72</f>
        <v>4071</v>
      </c>
      <c r="F72" s="63">
        <f>+D72*(1+$H$4)</f>
        <v>145.6326764537616</v>
      </c>
      <c r="G72" s="53">
        <f>+C72*F72</f>
        <v>4296.1639553859677</v>
      </c>
      <c r="H72" s="10">
        <f>+IF(C72=0,0,(G72-E72)/E72)</f>
        <v>5.5309249664939254E-2</v>
      </c>
      <c r="I72" s="126">
        <v>145.65</v>
      </c>
      <c r="J72" s="53">
        <f>+C72*I72</f>
        <v>4296.6750000000002</v>
      </c>
      <c r="K72" s="10">
        <f>+IF(C72=0,0,(J72-E72)/E72)</f>
        <v>5.54347826086957E-2</v>
      </c>
      <c r="L72" s="63">
        <f>+D72*(1+$L$2)</f>
        <v>138</v>
      </c>
      <c r="N72" s="84"/>
      <c r="O72" s="432">
        <f t="shared" ref="O72:O73" si="45">ROUND(D72*(1+$M$5),2)</f>
        <v>138</v>
      </c>
      <c r="P72" s="436">
        <f t="shared" si="9"/>
        <v>4071</v>
      </c>
    </row>
    <row r="73" spans="1:18">
      <c r="A73" t="s">
        <v>389</v>
      </c>
      <c r="C73" s="122">
        <f>+'Service Counts'!I73</f>
        <v>0.5</v>
      </c>
      <c r="D73" s="63">
        <f>+'Service Counts'!G73</f>
        <v>35</v>
      </c>
      <c r="E73" s="43">
        <f>+C73*D73</f>
        <v>17.5</v>
      </c>
      <c r="F73" s="63">
        <f>+D73*(1+$H$4)</f>
        <v>36.935823738272873</v>
      </c>
      <c r="G73" s="57">
        <f>+C73*F73</f>
        <v>18.467911869136437</v>
      </c>
      <c r="H73" s="10">
        <f>+IF(C73=0,0,(G73-E73)/E73)</f>
        <v>5.5309249664939233E-2</v>
      </c>
      <c r="I73" s="126">
        <v>36.950000000000003</v>
      </c>
      <c r="J73" s="57">
        <f>+C73*I73</f>
        <v>18.475000000000001</v>
      </c>
      <c r="K73" s="10">
        <f>+IF(C73=0,0,(J73-E73)/E73)</f>
        <v>5.5714285714285793E-2</v>
      </c>
      <c r="L73" s="63">
        <f>+D73*(1+$L$2)</f>
        <v>35</v>
      </c>
      <c r="N73" s="84"/>
      <c r="O73" s="432">
        <f t="shared" si="45"/>
        <v>35</v>
      </c>
      <c r="P73" s="436">
        <f t="shared" si="9"/>
        <v>17.5</v>
      </c>
    </row>
    <row r="74" spans="1:18">
      <c r="C74" s="122"/>
      <c r="D74" s="63"/>
      <c r="E74" s="6">
        <f>SUM(E72:E73)</f>
        <v>4088.5</v>
      </c>
      <c r="G74" s="6">
        <f>SUM(G72:G73)</f>
        <v>4314.6318672551042</v>
      </c>
      <c r="J74" s="6">
        <f>SUM(J72:J73)</f>
        <v>4315.1500000000005</v>
      </c>
      <c r="K74" s="125">
        <f>(+J74-E74)/E74</f>
        <v>5.5435978965390861E-2</v>
      </c>
      <c r="O74" s="432"/>
      <c r="P74" s="432"/>
    </row>
    <row r="75" spans="1:18">
      <c r="C75" s="122"/>
      <c r="D75" s="56"/>
      <c r="O75" s="432"/>
      <c r="P75" s="432"/>
    </row>
    <row r="76" spans="1:18">
      <c r="C76" s="122"/>
      <c r="D76" s="56"/>
      <c r="O76" s="432"/>
      <c r="P76" s="432"/>
    </row>
    <row r="77" spans="1:18">
      <c r="C77" s="122">
        <f>+'Service Counts'!I75</f>
        <v>70946.2</v>
      </c>
      <c r="D77" s="56"/>
      <c r="E77" s="63">
        <f>ROUND(+E32+E51+E69+E74,2)</f>
        <v>1660951.84</v>
      </c>
      <c r="G77" s="63">
        <f>ROUND(+G32+G51+G69+G74,2)</f>
        <v>1752817.83</v>
      </c>
      <c r="J77" s="63">
        <f>ROUND(+J32+J51+J69+J74,2)</f>
        <v>1754891.34</v>
      </c>
      <c r="L77" s="63"/>
      <c r="O77" s="432"/>
      <c r="P77" s="436">
        <f>SUM(P11:P73)</f>
        <v>1660951.8349999997</v>
      </c>
    </row>
    <row r="78" spans="1:18">
      <c r="C78" s="122"/>
      <c r="D78" s="56"/>
      <c r="O78" s="432"/>
      <c r="P78" s="432"/>
    </row>
    <row r="79" spans="1:18">
      <c r="A79" t="s">
        <v>388</v>
      </c>
      <c r="C79" s="122"/>
      <c r="D79" s="56"/>
      <c r="G79" s="63">
        <f>ROUND(+G77-E77,2)</f>
        <v>91865.99</v>
      </c>
      <c r="J79" s="63">
        <f>ROUND(+J77-E77,2)</f>
        <v>93939.5</v>
      </c>
      <c r="K79" s="124">
        <f>ROUND(+J79/E77,4)</f>
        <v>5.6599999999999998E-2</v>
      </c>
      <c r="O79" s="432"/>
      <c r="P79" s="436">
        <f>P77-E77</f>
        <v>-5.0000003539025784E-3</v>
      </c>
    </row>
    <row r="80" spans="1:18">
      <c r="C80" s="122"/>
      <c r="D80" s="56"/>
      <c r="Q80" s="112" t="e">
        <f>#REF!</f>
        <v>#REF!</v>
      </c>
      <c r="R80" t="s">
        <v>1163</v>
      </c>
    </row>
    <row r="81" spans="3:18">
      <c r="C81" s="122"/>
      <c r="D81" s="56"/>
      <c r="E81" s="6"/>
      <c r="K81" s="123"/>
      <c r="Q81" s="112" t="e">
        <f>Q80-P79</f>
        <v>#REF!</v>
      </c>
      <c r="R81" t="s">
        <v>1164</v>
      </c>
    </row>
    <row r="82" spans="3:18">
      <c r="C82" s="122"/>
      <c r="D82" s="56"/>
      <c r="E82" s="6"/>
    </row>
    <row r="83" spans="3:18">
      <c r="C83" s="122"/>
      <c r="D83" s="56"/>
      <c r="E83" s="82"/>
    </row>
    <row r="84" spans="3:18">
      <c r="C84" s="122"/>
      <c r="D84" s="56"/>
      <c r="E84" s="18"/>
    </row>
    <row r="85" spans="3:18">
      <c r="C85" s="122"/>
      <c r="D85" s="56"/>
      <c r="E85" s="56"/>
    </row>
    <row r="86" spans="3:18">
      <c r="C86" s="122"/>
      <c r="D86" s="56"/>
      <c r="E86" s="10"/>
    </row>
    <row r="87" spans="3:18">
      <c r="C87" s="122"/>
      <c r="D87" s="56"/>
      <c r="E87" s="10"/>
    </row>
    <row r="88" spans="3:18">
      <c r="C88" s="122"/>
      <c r="D88" s="56"/>
    </row>
    <row r="89" spans="3:18">
      <c r="D89" s="56"/>
    </row>
  </sheetData>
  <pageMargins left="0.47" right="0.3" top="0.66" bottom="0.28000000000000003" header="0.5" footer="0.3"/>
  <pageSetup scale="73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T113"/>
  <sheetViews>
    <sheetView showGridLines="0" tabSelected="1" showOutlineSymbols="0" zoomScale="120" zoomScaleNormal="120" workbookViewId="0">
      <selection activeCell="B3" sqref="B3"/>
    </sheetView>
  </sheetViews>
  <sheetFormatPr defaultColWidth="16.7109375" defaultRowHeight="15"/>
  <cols>
    <col min="1" max="1" width="4.85546875" style="449" customWidth="1"/>
    <col min="2" max="2" width="33.5703125" style="452" bestFit="1" customWidth="1"/>
    <col min="3" max="3" width="21.28515625" style="452" customWidth="1"/>
    <col min="4" max="4" width="21.28515625" style="452" hidden="1" customWidth="1"/>
    <col min="5" max="5" width="7.28515625" style="452" customWidth="1"/>
    <col min="6" max="6" width="5.7109375" style="449" customWidth="1"/>
    <col min="7" max="7" width="8.5703125" style="449" customWidth="1"/>
    <col min="8" max="8" width="15" style="449" customWidth="1"/>
    <col min="9" max="9" width="17.7109375" style="449" customWidth="1"/>
    <col min="10" max="10" width="13.28515625" style="449" customWidth="1"/>
    <col min="11" max="11" width="15.140625" style="449" bestFit="1" customWidth="1"/>
    <col min="12" max="13" width="18.42578125" style="449" customWidth="1"/>
    <col min="14" max="14" width="6.140625" style="449" customWidth="1"/>
    <col min="15" max="15" width="6.28515625" style="452" customWidth="1"/>
    <col min="16" max="16" width="40.42578125" style="452" customWidth="1"/>
    <col min="17" max="17" width="16.7109375" style="451"/>
    <col min="18" max="18" width="13.85546875" style="450" customWidth="1"/>
    <col min="19" max="19" width="16.7109375" style="449"/>
    <col min="20" max="20" width="13.42578125" style="449" customWidth="1"/>
    <col min="21" max="21" width="15.7109375" style="449" customWidth="1"/>
    <col min="22" max="22" width="16.7109375" style="449"/>
    <col min="23" max="24" width="17.7109375" style="449" customWidth="1"/>
    <col min="25" max="25" width="16" style="449" customWidth="1"/>
    <col min="26" max="26" width="16.7109375" style="449"/>
    <col min="27" max="27" width="15.85546875" style="449" customWidth="1"/>
    <col min="28" max="29" width="16.7109375" style="449"/>
    <col min="30" max="30" width="16.42578125" style="449" customWidth="1"/>
    <col min="31" max="31" width="17.28515625" style="449" customWidth="1"/>
    <col min="32" max="32" width="20.7109375" style="449" customWidth="1"/>
    <col min="33" max="33" width="18.140625" style="449" customWidth="1"/>
    <col min="34" max="34" width="16.42578125" style="449" customWidth="1"/>
    <col min="35" max="35" width="16.7109375" style="449"/>
    <col min="36" max="36" width="13.85546875" style="449" customWidth="1"/>
    <col min="37" max="37" width="16.42578125" style="449" customWidth="1"/>
    <col min="38" max="49" width="15.140625" style="449" customWidth="1"/>
    <col min="50" max="16384" width="16.7109375" style="449"/>
  </cols>
  <sheetData>
    <row r="1" spans="1:35" s="606" customFormat="1" ht="15.75" thickBot="1">
      <c r="A1" s="468"/>
      <c r="B1" s="609"/>
      <c r="C1" s="609"/>
      <c r="D1" s="609"/>
      <c r="E1" s="609"/>
      <c r="F1" s="609"/>
      <c r="G1" s="609"/>
      <c r="H1" s="609"/>
      <c r="I1" s="610"/>
      <c r="J1" s="610"/>
      <c r="K1" s="610"/>
      <c r="L1" s="610"/>
      <c r="M1" s="610"/>
      <c r="N1" s="610"/>
      <c r="O1" s="609"/>
      <c r="P1" s="609"/>
      <c r="Q1" s="608"/>
      <c r="R1" s="607"/>
    </row>
    <row r="2" spans="1:35" ht="19.5" thickBot="1">
      <c r="A2" s="468"/>
      <c r="B2" s="778" t="s">
        <v>1270</v>
      </c>
      <c r="C2" s="778"/>
      <c r="D2" s="468"/>
      <c r="E2" s="468"/>
      <c r="F2" s="603" t="s">
        <v>1268</v>
      </c>
      <c r="G2" s="604"/>
      <c r="H2" s="604"/>
      <c r="I2" s="605" t="s">
        <v>1269</v>
      </c>
      <c r="J2" s="604"/>
      <c r="K2" s="604"/>
      <c r="L2" s="604"/>
      <c r="M2" s="603" t="s">
        <v>1268</v>
      </c>
      <c r="O2" s="468"/>
      <c r="P2" s="468"/>
      <c r="R2" s="602" t="s">
        <v>1267</v>
      </c>
      <c r="S2" s="601"/>
      <c r="T2" s="600"/>
      <c r="AF2" s="775" t="s">
        <v>1266</v>
      </c>
      <c r="AG2" s="776"/>
      <c r="AH2" s="776"/>
      <c r="AI2" s="777"/>
    </row>
    <row r="3" spans="1:35" ht="15.75">
      <c r="A3" s="468"/>
      <c r="B3" s="468"/>
      <c r="C3" s="468"/>
      <c r="D3" s="468"/>
      <c r="E3" s="468"/>
      <c r="F3" s="599"/>
      <c r="G3" s="506"/>
      <c r="K3" s="598" t="s">
        <v>1265</v>
      </c>
      <c r="M3" s="598" t="s">
        <v>1264</v>
      </c>
      <c r="O3" s="468"/>
      <c r="P3" s="468"/>
      <c r="R3" s="449"/>
      <c r="T3" s="449" t="s">
        <v>1263</v>
      </c>
      <c r="V3" s="450" t="s">
        <v>1263</v>
      </c>
      <c r="W3" s="450" t="s">
        <v>1263</v>
      </c>
      <c r="X3" s="450" t="s">
        <v>1263</v>
      </c>
      <c r="Y3" s="450" t="s">
        <v>1262</v>
      </c>
      <c r="Z3" s="450" t="s">
        <v>1262</v>
      </c>
      <c r="AA3" s="450" t="s">
        <v>1262</v>
      </c>
      <c r="AB3" s="450" t="s">
        <v>1262</v>
      </c>
      <c r="AC3" s="450" t="s">
        <v>1262</v>
      </c>
      <c r="AD3" s="450" t="s">
        <v>1262</v>
      </c>
      <c r="AE3" s="450" t="s">
        <v>1236</v>
      </c>
      <c r="AF3" s="450" t="s">
        <v>151</v>
      </c>
      <c r="AG3" s="450" t="s">
        <v>1261</v>
      </c>
      <c r="AH3" s="450"/>
    </row>
    <row r="4" spans="1:35" ht="19.5" thickBot="1">
      <c r="A4" s="468"/>
      <c r="B4" s="597" t="s">
        <v>1260</v>
      </c>
      <c r="C4" s="596"/>
      <c r="D4" s="576"/>
      <c r="E4" s="468"/>
      <c r="F4" s="504"/>
      <c r="G4" s="506"/>
      <c r="H4" s="593" t="s">
        <v>1259</v>
      </c>
      <c r="I4" s="593" t="s">
        <v>1258</v>
      </c>
      <c r="J4" s="593" t="s">
        <v>1257</v>
      </c>
      <c r="K4" s="593" t="s">
        <v>1256</v>
      </c>
      <c r="L4" s="593" t="s">
        <v>1255</v>
      </c>
      <c r="M4" s="593" t="s">
        <v>1254</v>
      </c>
      <c r="O4" s="595"/>
      <c r="P4" s="468"/>
      <c r="R4" s="449"/>
      <c r="T4" s="450" t="s">
        <v>1251</v>
      </c>
      <c r="V4" s="450" t="s">
        <v>1253</v>
      </c>
      <c r="W4" s="450" t="s">
        <v>848</v>
      </c>
      <c r="X4" s="450" t="s">
        <v>1172</v>
      </c>
      <c r="Y4" s="450" t="s">
        <v>1252</v>
      </c>
      <c r="Z4" s="450" t="s">
        <v>1252</v>
      </c>
      <c r="AA4" s="450" t="s">
        <v>1252</v>
      </c>
      <c r="AB4" s="450" t="s">
        <v>848</v>
      </c>
      <c r="AC4" s="450" t="s">
        <v>1251</v>
      </c>
      <c r="AD4" s="450" t="s">
        <v>1251</v>
      </c>
      <c r="AE4" s="450" t="s">
        <v>1250</v>
      </c>
      <c r="AF4" s="450" t="s">
        <v>1249</v>
      </c>
      <c r="AG4" s="450" t="s">
        <v>1248</v>
      </c>
      <c r="AH4" s="450" t="s">
        <v>1247</v>
      </c>
      <c r="AI4" s="450" t="s">
        <v>113</v>
      </c>
    </row>
    <row r="5" spans="1:35" ht="15.75">
      <c r="A5" s="468"/>
      <c r="B5" s="578" t="s">
        <v>1231</v>
      </c>
      <c r="C5" s="767">
        <f>+'Staff Pro Forma'!N21</f>
        <v>2628438.5410000002</v>
      </c>
      <c r="D5" s="576"/>
      <c r="E5" s="468"/>
      <c r="F5" s="594" t="s">
        <v>1246</v>
      </c>
      <c r="G5" s="510"/>
      <c r="H5" s="510"/>
      <c r="I5" s="593" t="s">
        <v>1245</v>
      </c>
      <c r="J5" s="593" t="s">
        <v>151</v>
      </c>
      <c r="K5" s="592" t="s">
        <v>88</v>
      </c>
      <c r="L5" s="592" t="s">
        <v>1244</v>
      </c>
      <c r="M5" s="592" t="s">
        <v>151</v>
      </c>
      <c r="O5" s="572"/>
      <c r="P5" s="468"/>
      <c r="R5" s="591"/>
      <c r="T5" s="450" t="s">
        <v>1238</v>
      </c>
      <c r="U5" s="450" t="s">
        <v>1243</v>
      </c>
      <c r="V5" s="450" t="s">
        <v>1242</v>
      </c>
      <c r="W5" s="450" t="s">
        <v>1241</v>
      </c>
      <c r="X5" s="450" t="s">
        <v>135</v>
      </c>
      <c r="Y5" s="450" t="s">
        <v>1176</v>
      </c>
      <c r="Z5" s="450" t="s">
        <v>1240</v>
      </c>
      <c r="AA5" s="450" t="s">
        <v>1180</v>
      </c>
      <c r="AB5" s="450" t="s">
        <v>1239</v>
      </c>
      <c r="AC5" s="450" t="s">
        <v>1238</v>
      </c>
      <c r="AD5" s="450" t="s">
        <v>1169</v>
      </c>
      <c r="AE5" s="450" t="s">
        <v>1190</v>
      </c>
      <c r="AF5" s="450" t="s">
        <v>1237</v>
      </c>
      <c r="AG5" s="450" t="s">
        <v>1237</v>
      </c>
      <c r="AH5" s="450" t="s">
        <v>1190</v>
      </c>
      <c r="AI5" s="450" t="s">
        <v>1236</v>
      </c>
    </row>
    <row r="6" spans="1:35" ht="15.75">
      <c r="A6" s="468"/>
      <c r="B6" s="578" t="s">
        <v>1229</v>
      </c>
      <c r="C6" s="766">
        <f>'Staff Pro Forma'!N102</f>
        <v>2506670.755072555</v>
      </c>
      <c r="D6" s="576"/>
      <c r="E6" s="468"/>
      <c r="F6" s="590" t="s">
        <v>1235</v>
      </c>
      <c r="G6" s="510"/>
      <c r="H6" s="510"/>
      <c r="I6" s="589"/>
      <c r="J6" s="587" t="s">
        <v>1234</v>
      </c>
      <c r="K6" s="588"/>
      <c r="L6" s="587" t="s">
        <v>1233</v>
      </c>
      <c r="M6" s="587" t="s">
        <v>1232</v>
      </c>
      <c r="O6" s="572"/>
      <c r="P6" s="468"/>
      <c r="R6" s="761">
        <v>1</v>
      </c>
      <c r="S6" s="760">
        <f>Revenue/Investment*100</f>
        <v>260.12571375557968</v>
      </c>
      <c r="T6" s="759">
        <f>EXP(y_inter1-(slope*LN(+S6)))</f>
        <v>6.8250407032123572</v>
      </c>
      <c r="U6" s="758">
        <f>(+S6*T6/100)/100</f>
        <v>0.17753685843339981</v>
      </c>
      <c r="V6" s="758">
        <f>regDebt_weighted</f>
        <v>3.5860000000000003E-2</v>
      </c>
      <c r="W6" s="758">
        <f>+U6-V6</f>
        <v>0.1416768584333998</v>
      </c>
      <c r="X6" s="758">
        <f>+((W6*(1-0.34))-Pfd_weighted)/Equity_percent</f>
        <v>0.25382769350594148</v>
      </c>
      <c r="Y6" s="758">
        <f>X6*equityP</f>
        <v>0.15229661610356487</v>
      </c>
      <c r="Z6" s="758">
        <f>+Y6/(1-taxrate)</f>
        <v>0.19278052671337326</v>
      </c>
      <c r="AA6" s="758">
        <f>debtP*Debt_Rate</f>
        <v>2.0000000000000004E-2</v>
      </c>
      <c r="AB6" s="758">
        <f>AA6+Z6</f>
        <v>0.21278052671337327</v>
      </c>
      <c r="AC6" s="758">
        <f>AB6/(S6/100)</f>
        <v>8.1799113067809556E-2</v>
      </c>
      <c r="AD6" s="758">
        <f>1-AC6</f>
        <v>0.91820088693219049</v>
      </c>
      <c r="AE6" s="755">
        <f>expenses/(AD6)</f>
        <v>2729980.7599267475</v>
      </c>
      <c r="AF6" s="757">
        <f>+AE6-Revenue</f>
        <v>101542.21892674733</v>
      </c>
      <c r="AG6" s="756">
        <f ca="1">+AF6/$J$49</f>
        <v>112863.01646214128</v>
      </c>
      <c r="AH6" s="756">
        <f ca="1">+AG6*$J$47</f>
        <v>2550.7041720443931</v>
      </c>
      <c r="AI6" s="755">
        <f ca="1">ROUND(+AH6+AE6,5)</f>
        <v>2732531.4641</v>
      </c>
    </row>
    <row r="7" spans="1:35" ht="15.75">
      <c r="A7" s="468"/>
      <c r="B7" s="578" t="s">
        <v>1067</v>
      </c>
      <c r="C7" s="766">
        <f>'Staff Pro Forma'!N108</f>
        <v>1010449.3335363776</v>
      </c>
      <c r="D7" s="576"/>
      <c r="E7" s="468"/>
      <c r="F7" s="765">
        <v>1</v>
      </c>
      <c r="G7" s="510"/>
      <c r="H7" s="554" t="s">
        <v>1231</v>
      </c>
      <c r="I7" s="558">
        <f>IF(A65=TRUE,C5,0)</f>
        <v>2628438.5410000002</v>
      </c>
      <c r="J7" s="558">
        <f ca="1">(+$I8/($R51))-I7</f>
        <v>89615.258022537455</v>
      </c>
      <c r="K7" s="558">
        <f ca="1">+I7+J7</f>
        <v>2718053.7990225377</v>
      </c>
      <c r="L7" s="558">
        <f ca="1">((+J7/J49*K35)-J7)</f>
        <v>2251.1031857775233</v>
      </c>
      <c r="M7" s="558">
        <f ca="1">IFERROR(+K7+L7,0.00001)</f>
        <v>2720304.9022083152</v>
      </c>
      <c r="O7" s="572"/>
      <c r="P7" s="468"/>
      <c r="R7" s="544">
        <v>2</v>
      </c>
      <c r="S7" s="539">
        <f>Revenue/Investment*100</f>
        <v>260.12571375557968</v>
      </c>
      <c r="T7" s="540">
        <f>EXP(y_inter1-(slope*LN(+S7)))</f>
        <v>6.8250407032123572</v>
      </c>
      <c r="U7" s="537">
        <f>(+S7*T7/100)/100</f>
        <v>0.17753685843339981</v>
      </c>
      <c r="V7" s="537">
        <f>regDebt_weighted</f>
        <v>3.5860000000000003E-2</v>
      </c>
      <c r="W7" s="537">
        <f>+U7-V7</f>
        <v>0.1416768584333998</v>
      </c>
      <c r="X7" s="537">
        <f>+((W7*(1-0.34))-Pfd_weighted)/Equity_percent</f>
        <v>0.25382769350594148</v>
      </c>
      <c r="Y7" s="537">
        <f>X7*equityP</f>
        <v>0.15229661610356487</v>
      </c>
      <c r="Z7" s="537">
        <f>+Y7/(1-taxrate)</f>
        <v>0.19278052671337326</v>
      </c>
      <c r="AA7" s="537">
        <f>debtP*Debt_Rate</f>
        <v>2.0000000000000004E-2</v>
      </c>
      <c r="AB7" s="537">
        <f>AA7+Z7</f>
        <v>0.21278052671337327</v>
      </c>
      <c r="AC7" s="537">
        <f>AB7/(S7/100)</f>
        <v>8.1799113067809556E-2</v>
      </c>
      <c r="AD7" s="537">
        <f>1-AC7</f>
        <v>0.91820088693219049</v>
      </c>
      <c r="AE7" s="534">
        <f>expenses/(AD7)</f>
        <v>2729980.7599267475</v>
      </c>
      <c r="AF7" s="536">
        <f>+AE7-Revenue</f>
        <v>101542.21892674733</v>
      </c>
      <c r="AG7" s="535">
        <f ca="1">+AF7/$J$49</f>
        <v>112863.01646214128</v>
      </c>
      <c r="AH7" s="535">
        <f ca="1">+AG7*$J$47</f>
        <v>2550.7041720443931</v>
      </c>
      <c r="AI7" s="534">
        <f ca="1">ROUND(+AH7+AE7,5)</f>
        <v>2732531.4641</v>
      </c>
    </row>
    <row r="8" spans="1:35" ht="15.75">
      <c r="A8" s="468"/>
      <c r="B8" s="578" t="s">
        <v>1230</v>
      </c>
      <c r="C8" s="762">
        <v>0.4</v>
      </c>
      <c r="D8" s="576"/>
      <c r="E8" s="468"/>
      <c r="F8" s="505">
        <f t="shared" ref="F8:F49" si="0">+F7+1</f>
        <v>2</v>
      </c>
      <c r="G8" s="510"/>
      <c r="H8" s="554" t="s">
        <v>1229</v>
      </c>
      <c r="I8" s="558">
        <f>IF(A65=TRUE,C6,0)</f>
        <v>2506670.755072555</v>
      </c>
      <c r="J8" s="506"/>
      <c r="K8" s="558">
        <f>+I8</f>
        <v>2506670.755072555</v>
      </c>
      <c r="L8" s="558">
        <f ca="1">+L7</f>
        <v>2251.1031857775233</v>
      </c>
      <c r="M8" s="558">
        <f ca="1">IFERROR(+K8+L8,0.00001)</f>
        <v>2508921.8582583326</v>
      </c>
      <c r="O8" s="572"/>
      <c r="P8" s="468"/>
      <c r="R8" s="512">
        <v>3</v>
      </c>
      <c r="S8" s="539">
        <f>Revenue/Investment*100</f>
        <v>260.12571375557968</v>
      </c>
      <c r="T8" s="540">
        <f>EXP(y_inter1-(slope*LN(+S8)))</f>
        <v>6.8250407032123572</v>
      </c>
      <c r="U8" s="537">
        <f>(+S8*T8/100)/100</f>
        <v>0.17753685843339981</v>
      </c>
      <c r="V8" s="537">
        <f>regDebt_weighted</f>
        <v>3.5860000000000003E-2</v>
      </c>
      <c r="W8" s="537">
        <f>+U8-V8</f>
        <v>0.1416768584333998</v>
      </c>
      <c r="X8" s="537">
        <f>+((W8*(1-0.34))-Pfd_weighted)/Equity_percent</f>
        <v>0.25382769350594148</v>
      </c>
      <c r="Y8" s="537">
        <f>X8*equityP</f>
        <v>0.15229661610356487</v>
      </c>
      <c r="Z8" s="537">
        <f>+Y8/(1-taxrate)</f>
        <v>0.19278052671337326</v>
      </c>
      <c r="AA8" s="537">
        <f>debtP*Debt_Rate</f>
        <v>2.0000000000000004E-2</v>
      </c>
      <c r="AB8" s="537">
        <f>AA8+Z8</f>
        <v>0.21278052671337327</v>
      </c>
      <c r="AC8" s="537">
        <f>AB8/(S8/100)</f>
        <v>8.1799113067809556E-2</v>
      </c>
      <c r="AD8" s="537">
        <f>1-AC8</f>
        <v>0.91820088693219049</v>
      </c>
      <c r="AE8" s="534">
        <f>expenses/(AD8)</f>
        <v>2729980.7599267475</v>
      </c>
      <c r="AF8" s="536">
        <f>+AE8-Revenue</f>
        <v>101542.21892674733</v>
      </c>
      <c r="AG8" s="535">
        <f ca="1">+AF8/$J$49</f>
        <v>112863.01646214128</v>
      </c>
      <c r="AH8" s="535">
        <f ca="1">+AG8*$J$47</f>
        <v>2550.7041720443931</v>
      </c>
      <c r="AI8" s="534">
        <f ca="1">ROUND(+AH8+AE8,5)</f>
        <v>2732531.4641</v>
      </c>
    </row>
    <row r="9" spans="1:35" ht="15.75">
      <c r="A9" s="468"/>
      <c r="B9" s="578" t="s">
        <v>1228</v>
      </c>
      <c r="C9" s="762">
        <v>0.05</v>
      </c>
      <c r="D9" s="576"/>
      <c r="E9" s="468"/>
      <c r="F9" s="505">
        <f t="shared" si="0"/>
        <v>3</v>
      </c>
      <c r="G9" s="510"/>
      <c r="H9" s="554" t="s">
        <v>1227</v>
      </c>
      <c r="I9" s="764">
        <f>+I7-I8</f>
        <v>121767.78592744516</v>
      </c>
      <c r="J9" s="506"/>
      <c r="K9" s="764">
        <f ca="1">+K7-K8</f>
        <v>211383.04394998262</v>
      </c>
      <c r="L9" s="510"/>
      <c r="M9" s="763">
        <f ca="1">+M7-M8</f>
        <v>211383.04394998262</v>
      </c>
      <c r="O9" s="572"/>
      <c r="P9" s="468"/>
      <c r="R9" s="518">
        <v>4</v>
      </c>
      <c r="S9" s="539">
        <f>Revenue/Investment*100</f>
        <v>260.12571375557968</v>
      </c>
      <c r="T9" s="540">
        <f>EXP(y_inter1-(slope*LN(+S9)))</f>
        <v>6.8250407032123572</v>
      </c>
      <c r="U9" s="537">
        <f>(+S9*T9/100)/100</f>
        <v>0.17753685843339981</v>
      </c>
      <c r="V9" s="537">
        <f>regDebt_weighted</f>
        <v>3.5860000000000003E-2</v>
      </c>
      <c r="W9" s="537">
        <f>+U9-V9</f>
        <v>0.1416768584333998</v>
      </c>
      <c r="X9" s="537">
        <f>+((W9*(1-0.34))-Pfd_weighted)/Equity_percent</f>
        <v>0.25382769350594148</v>
      </c>
      <c r="Y9" s="537">
        <f>X9*equityP</f>
        <v>0.15229661610356487</v>
      </c>
      <c r="Z9" s="537">
        <f>+Y9/(1-taxrate)</f>
        <v>0.19278052671337326</v>
      </c>
      <c r="AA9" s="537">
        <f>debtP*Debt_Rate</f>
        <v>2.0000000000000004E-2</v>
      </c>
      <c r="AB9" s="537">
        <f>AA9+Z9</f>
        <v>0.21278052671337327</v>
      </c>
      <c r="AC9" s="537">
        <f>AB9/(S9/100)</f>
        <v>8.1799113067809556E-2</v>
      </c>
      <c r="AD9" s="537">
        <f>1-AC9</f>
        <v>0.91820088693219049</v>
      </c>
      <c r="AE9" s="534">
        <f>expenses/(AD9)</f>
        <v>2729980.7599267475</v>
      </c>
      <c r="AF9" s="536">
        <f>+AE9-Revenue</f>
        <v>101542.21892674733</v>
      </c>
      <c r="AG9" s="535">
        <f ca="1">+AF9/$J$49</f>
        <v>112863.01646214128</v>
      </c>
      <c r="AH9" s="535">
        <f ca="1">+AG9*$J$47</f>
        <v>2550.7041720443931</v>
      </c>
      <c r="AI9" s="534">
        <f ca="1">ROUND(+AH9+AE9,5)</f>
        <v>2732531.4641</v>
      </c>
    </row>
    <row r="10" spans="1:35" ht="15.75">
      <c r="A10" s="468"/>
      <c r="B10" s="586" t="s">
        <v>1226</v>
      </c>
      <c r="C10" s="762">
        <v>0.21</v>
      </c>
      <c r="D10" s="576"/>
      <c r="E10" s="468"/>
      <c r="F10" s="505">
        <f t="shared" si="0"/>
        <v>4</v>
      </c>
      <c r="G10" s="510"/>
      <c r="H10" s="510"/>
      <c r="I10" s="506"/>
      <c r="J10" s="506"/>
      <c r="K10" s="558"/>
      <c r="L10" s="510"/>
      <c r="M10" s="510"/>
      <c r="N10" s="510"/>
      <c r="O10" s="572"/>
      <c r="P10" s="468"/>
      <c r="R10" s="450" t="s">
        <v>1225</v>
      </c>
    </row>
    <row r="11" spans="1:35" ht="15.75">
      <c r="A11" s="468"/>
      <c r="B11" s="578" t="s">
        <v>1224</v>
      </c>
      <c r="C11" s="754">
        <v>1.7500000000000002E-2</v>
      </c>
      <c r="D11" s="576"/>
      <c r="E11" s="468"/>
      <c r="F11" s="505">
        <f t="shared" si="0"/>
        <v>5</v>
      </c>
      <c r="G11" s="510"/>
      <c r="H11" s="554" t="s">
        <v>1223</v>
      </c>
      <c r="I11" s="558">
        <f>+K11</f>
        <v>20208.986670727554</v>
      </c>
      <c r="J11" s="506"/>
      <c r="K11" s="558">
        <f>+M27</f>
        <v>20208.986670727554</v>
      </c>
      <c r="L11" s="510"/>
      <c r="M11" s="558">
        <f>+K11</f>
        <v>20208.986670727554</v>
      </c>
      <c r="O11" s="572"/>
      <c r="P11" s="468"/>
      <c r="R11" s="761">
        <v>1</v>
      </c>
      <c r="S11" s="760">
        <f ca="1">IF((AI6/Investment*100)&gt;0,(AI6/Investment*100),0)</f>
        <v>270.42736072046949</v>
      </c>
      <c r="T11" s="759">
        <f ca="1">EXP(y_inter1-(slope*LN(S11)))</f>
        <v>6.6462021746001554</v>
      </c>
      <c r="U11" s="758">
        <f ca="1">(+S11*T11/100)/100</f>
        <v>0.17973149128917651</v>
      </c>
      <c r="V11" s="758">
        <f>regDebt_weighted</f>
        <v>3.5860000000000003E-2</v>
      </c>
      <c r="W11" s="758">
        <f ca="1">+U11-V11</f>
        <v>0.14387149128917651</v>
      </c>
      <c r="X11" s="758">
        <f ca="1">+((W11*(1-0.34))-Pfd_weighted)/Equity_percent</f>
        <v>0.25803832631062934</v>
      </c>
      <c r="Y11" s="758">
        <f ca="1">+X11*equityP</f>
        <v>0.15482299578637759</v>
      </c>
      <c r="Z11" s="758">
        <f ca="1">+Y11/(1-taxrate)</f>
        <v>0.19597847567895896</v>
      </c>
      <c r="AA11" s="758">
        <f>debtP*Debt_Rate</f>
        <v>2.0000000000000004E-2</v>
      </c>
      <c r="AB11" s="758">
        <f ca="1">+AA11+Z11</f>
        <v>0.21597847567895895</v>
      </c>
      <c r="AC11" s="758">
        <f ca="1">+AB11/(S11/100)</f>
        <v>7.9865615336980528E-2</v>
      </c>
      <c r="AD11" s="758">
        <f ca="1">1-AC11</f>
        <v>0.92013438466301944</v>
      </c>
      <c r="AE11" s="755">
        <f ca="1">expenses/(AD11)</f>
        <v>2724244.1939506177</v>
      </c>
      <c r="AF11" s="757">
        <f ca="1">+AE11-Revenue</f>
        <v>95805.652950617485</v>
      </c>
      <c r="AG11" s="756">
        <f ca="1">+AF11/$J$49</f>
        <v>106486.88890610303</v>
      </c>
      <c r="AH11" s="756">
        <f ca="1">+AG11*$J$47</f>
        <v>2406.6036892779289</v>
      </c>
      <c r="AI11" s="755">
        <f ca="1">ROUND(+AH11+AE11,5)</f>
        <v>2726650.79764</v>
      </c>
    </row>
    <row r="12" spans="1:35" ht="15.75">
      <c r="A12" s="468"/>
      <c r="B12" s="578" t="s">
        <v>1222</v>
      </c>
      <c r="C12" s="754">
        <v>5.1000000000000004E-3</v>
      </c>
      <c r="D12" s="576"/>
      <c r="E12" s="468"/>
      <c r="F12" s="505">
        <f t="shared" si="0"/>
        <v>6</v>
      </c>
      <c r="G12" s="510"/>
      <c r="H12" s="554" t="s">
        <v>1221</v>
      </c>
      <c r="I12" s="558">
        <f ca="1">IF(I14&lt;0,0,+J38*I14)</f>
        <v>17625.907309017104</v>
      </c>
      <c r="J12" s="558">
        <f ca="1">+K12-I12</f>
        <v>22520.64471962646</v>
      </c>
      <c r="K12" s="558">
        <f ca="1">+(K9-K11)*taxrate</f>
        <v>40146.552028643564</v>
      </c>
      <c r="L12" s="510"/>
      <c r="M12" s="558">
        <f ca="1">+K12</f>
        <v>40146.552028643564</v>
      </c>
      <c r="O12" s="572"/>
      <c r="P12" s="468"/>
      <c r="R12" s="544">
        <v>2</v>
      </c>
      <c r="S12" s="539">
        <f ca="1">IF((AI7/Investment*100)&gt;0,(AI7/Investment*100),0)</f>
        <v>270.42736072046949</v>
      </c>
      <c r="T12" s="543">
        <f ca="1">EXP(y_inter2-(slope*LN(+S12)))</f>
        <v>6.5516412446608561</v>
      </c>
      <c r="U12" s="537">
        <f ca="1">(+S12*T12/100)/100</f>
        <v>0.17717430501810072</v>
      </c>
      <c r="V12" s="537">
        <f>regDebt_weighted</f>
        <v>3.5860000000000003E-2</v>
      </c>
      <c r="W12" s="537">
        <f ca="1">+U12-V12</f>
        <v>0.14131430501810072</v>
      </c>
      <c r="X12" s="537">
        <f ca="1">+((W12*(1-0.34))-Pfd_weighted)/Equity_percent</f>
        <v>0.25313209683705368</v>
      </c>
      <c r="Y12" s="537">
        <f ca="1">+X12*equityP</f>
        <v>0.15187925810223221</v>
      </c>
      <c r="Z12" s="537">
        <f ca="1">+Y12/(1-taxrate)</f>
        <v>0.19225222544586354</v>
      </c>
      <c r="AA12" s="537">
        <f>debtP*Debt_Rate</f>
        <v>2.0000000000000004E-2</v>
      </c>
      <c r="AB12" s="537">
        <f ca="1">+AA12+Z12</f>
        <v>0.21225222544586353</v>
      </c>
      <c r="AC12" s="537">
        <f ca="1">+AB12/(S12/100)</f>
        <v>7.848770364077938E-2</v>
      </c>
      <c r="AD12" s="537">
        <f ca="1">1-AC12</f>
        <v>0.92151229635922061</v>
      </c>
      <c r="AE12" s="534">
        <f ca="1">expenses/(AD12)</f>
        <v>2720170.7074079169</v>
      </c>
      <c r="AF12" s="536">
        <f ca="1">+AE12-Revenue</f>
        <v>91732.166407916695</v>
      </c>
      <c r="AG12" s="535">
        <f ca="1">+AF12/$J$49</f>
        <v>101959.25514364989</v>
      </c>
      <c r="AH12" s="535">
        <f ca="1">+AG12*$J$47</f>
        <v>2304.2791662464879</v>
      </c>
      <c r="AI12" s="534">
        <f ca="1">ROUND(+AH12+AE12,5)</f>
        <v>2722474.9865700002</v>
      </c>
    </row>
    <row r="13" spans="1:35" ht="15.75">
      <c r="A13" s="468"/>
      <c r="B13" s="578" t="s">
        <v>1220</v>
      </c>
      <c r="C13" s="754">
        <v>0</v>
      </c>
      <c r="D13" s="576"/>
      <c r="E13" s="468"/>
      <c r="F13" s="505">
        <f t="shared" si="0"/>
        <v>7</v>
      </c>
      <c r="G13" s="510"/>
      <c r="H13" s="510"/>
      <c r="I13" s="506"/>
      <c r="J13" s="506"/>
      <c r="K13" s="558"/>
      <c r="L13" s="510"/>
      <c r="M13" s="510"/>
      <c r="O13" s="572"/>
      <c r="P13" s="468"/>
      <c r="R13" s="512">
        <v>3</v>
      </c>
      <c r="S13" s="539">
        <f ca="1">IF((AI8/Investment*100)&gt;0,(AI8/Investment*100),0)</f>
        <v>270.42736072046949</v>
      </c>
      <c r="T13" s="540">
        <f ca="1">EXP(y_inter3-(slope*LN(S13)))</f>
        <v>6.4879433804452313</v>
      </c>
      <c r="U13" s="537">
        <f ca="1">(+S13*T13/100)/100</f>
        <v>0.17545174048776449</v>
      </c>
      <c r="V13" s="537">
        <f>regDebt_weighted</f>
        <v>3.5860000000000003E-2</v>
      </c>
      <c r="W13" s="537">
        <f ca="1">+U13-V13</f>
        <v>0.13959174048776449</v>
      </c>
      <c r="X13" s="537">
        <f ca="1">+((W13*(1-0.34))-Pfd_weighted)/Equity_percent</f>
        <v>0.24982717651722255</v>
      </c>
      <c r="Y13" s="537">
        <f ca="1">+X13*equityP</f>
        <v>0.14989630591033354</v>
      </c>
      <c r="Z13" s="537">
        <f ca="1">+Y13/(1-taxrate)</f>
        <v>0.18974215938016903</v>
      </c>
      <c r="AA13" s="537">
        <f>debtP*Debt_Rate</f>
        <v>2.0000000000000004E-2</v>
      </c>
      <c r="AB13" s="537">
        <f ca="1">+AA13+Z13</f>
        <v>0.20974215938016905</v>
      </c>
      <c r="AC13" s="537">
        <f ca="1">+AB13/(S13/100)</f>
        <v>7.7559518689742174E-2</v>
      </c>
      <c r="AD13" s="537">
        <f ca="1">1-AC13</f>
        <v>0.9224404813102578</v>
      </c>
      <c r="AE13" s="534">
        <f ca="1">expenses/(AD13)</f>
        <v>2717433.5969210896</v>
      </c>
      <c r="AF13" s="536">
        <f ca="1">+AE13-Revenue</f>
        <v>88995.05592108937</v>
      </c>
      <c r="AG13" s="535">
        <f ca="1">+AF13/$J$49</f>
        <v>98916.988102426898</v>
      </c>
      <c r="AH13" s="535">
        <f ca="1">+AG13*$J$47</f>
        <v>2235.523931114848</v>
      </c>
      <c r="AI13" s="534">
        <f ca="1">ROUND(+AH13+AE13,5)</f>
        <v>2719669.1208500001</v>
      </c>
    </row>
    <row r="14" spans="1:35" ht="16.5" thickBot="1">
      <c r="A14" s="468"/>
      <c r="B14" s="577" t="s">
        <v>1219</v>
      </c>
      <c r="C14" s="754">
        <v>0</v>
      </c>
      <c r="D14" s="576"/>
      <c r="E14" s="468"/>
      <c r="F14" s="505">
        <f t="shared" si="0"/>
        <v>8</v>
      </c>
      <c r="G14" s="510"/>
      <c r="H14" s="510" t="s">
        <v>1218</v>
      </c>
      <c r="I14" s="753">
        <f ca="1">+I9-SUM(I11:I13)</f>
        <v>83932.891947700497</v>
      </c>
      <c r="J14" s="506"/>
      <c r="K14" s="753">
        <f ca="1">+K9-SUM(K11:K13)</f>
        <v>151027.50525061152</v>
      </c>
      <c r="L14" s="510"/>
      <c r="M14" s="753">
        <f ca="1">+M9-SUM(M11:M13)</f>
        <v>151027.50525061152</v>
      </c>
      <c r="O14" s="572"/>
      <c r="P14" s="468"/>
      <c r="R14" s="518">
        <v>4</v>
      </c>
      <c r="S14" s="539">
        <f ca="1">IF((AI9/Investment*100)&gt;0,(AI9/Investment*100),0)</f>
        <v>270.42736072046949</v>
      </c>
      <c r="T14" s="538">
        <f ca="1">EXP(y_inter4-(slope*LN(S14)))</f>
        <v>6.447197820428328</v>
      </c>
      <c r="U14" s="537">
        <f ca="1">(+S14*T14/100)/100</f>
        <v>0.17434986906211961</v>
      </c>
      <c r="V14" s="537">
        <f>regDebt_weighted</f>
        <v>3.5860000000000003E-2</v>
      </c>
      <c r="W14" s="537">
        <f ca="1">+U14-V14</f>
        <v>0.1384898690621196</v>
      </c>
      <c r="X14" s="537">
        <f ca="1">+((W14*(1-0.34))-Pfd_weighted)/Equity_percent</f>
        <v>0.24771312087499692</v>
      </c>
      <c r="Y14" s="537">
        <f ca="1">+X14*equityP</f>
        <v>0.14862787252499815</v>
      </c>
      <c r="Z14" s="537">
        <f ca="1">+Y14/(1-taxrate)</f>
        <v>0.18813654749999764</v>
      </c>
      <c r="AA14" s="537">
        <f>debtP*Debt_Rate</f>
        <v>2.0000000000000004E-2</v>
      </c>
      <c r="AB14" s="537">
        <f ca="1">+AA14+Z14</f>
        <v>0.20813654749999766</v>
      </c>
      <c r="AC14" s="537">
        <f ca="1">+AB14/(S14/100)</f>
        <v>7.6965787391291562E-2</v>
      </c>
      <c r="AD14" s="537">
        <f ca="1">1-AC14</f>
        <v>0.92303421260870844</v>
      </c>
      <c r="AE14" s="534">
        <f ca="1">expenses/(AD14)</f>
        <v>2715685.6385508431</v>
      </c>
      <c r="AF14" s="536">
        <f ca="1">+AE14-Revenue</f>
        <v>87247.097550842911</v>
      </c>
      <c r="AG14" s="535">
        <f ca="1">+AF14/$J$49</f>
        <v>96974.15234010639</v>
      </c>
      <c r="AH14" s="535">
        <f ca="1">+AG14*$J$47</f>
        <v>2191.6158428864046</v>
      </c>
      <c r="AI14" s="534">
        <f ca="1">ROUND(+AH14+AE14,5)</f>
        <v>2717877.2543899999</v>
      </c>
    </row>
    <row r="15" spans="1:35" ht="16.5" thickTop="1">
      <c r="A15" s="468"/>
      <c r="B15" s="782"/>
      <c r="C15" s="782"/>
      <c r="D15" s="468"/>
      <c r="E15" s="468"/>
      <c r="F15" s="505">
        <f t="shared" si="0"/>
        <v>9</v>
      </c>
      <c r="G15" s="506"/>
      <c r="H15" s="506"/>
      <c r="I15" s="506"/>
      <c r="J15" s="506"/>
      <c r="K15" s="575"/>
      <c r="L15" s="506"/>
      <c r="M15" s="506"/>
      <c r="O15" s="572"/>
      <c r="P15" s="468"/>
      <c r="R15" s="450" t="s">
        <v>1217</v>
      </c>
    </row>
    <row r="16" spans="1:35" ht="15.75">
      <c r="A16" s="468"/>
      <c r="B16" s="752" t="s">
        <v>1216</v>
      </c>
      <c r="C16" s="780"/>
      <c r="D16" s="780"/>
      <c r="E16" s="468"/>
      <c r="F16" s="505">
        <f t="shared" si="0"/>
        <v>10</v>
      </c>
      <c r="G16" s="506"/>
      <c r="H16" s="554" t="s">
        <v>1215</v>
      </c>
      <c r="I16" s="556">
        <f>+I8/I7</f>
        <v>0.95367295676576169</v>
      </c>
      <c r="J16" s="574"/>
      <c r="K16" s="556">
        <f ca="1">+K8/K7</f>
        <v>0.92223000000000011</v>
      </c>
      <c r="L16" s="573"/>
      <c r="M16" s="556">
        <f ca="1">+M8/M7</f>
        <v>0.92229435612957056</v>
      </c>
      <c r="O16" s="572"/>
      <c r="P16" s="468"/>
      <c r="R16" s="585">
        <v>1</v>
      </c>
      <c r="S16" s="584">
        <f ca="1">AI11/Investment*100</f>
        <v>269.84537543285307</v>
      </c>
      <c r="T16" s="583">
        <f ca="1">EXP(y_inter1-(slope*LN(+S16)))</f>
        <v>6.6559986322616389</v>
      </c>
      <c r="U16" s="582">
        <f ca="1">(+S16*T16/100)/100</f>
        <v>0.17960904498031982</v>
      </c>
      <c r="V16" s="582">
        <f>regDebt_weighted</f>
        <v>3.5860000000000003E-2</v>
      </c>
      <c r="W16" s="582">
        <f ca="1">+U16-V16</f>
        <v>0.14374904498031982</v>
      </c>
      <c r="X16" s="582">
        <f ca="1">+((W16*(1-0.34))-Pfd_weighted)/Equity_percent</f>
        <v>0.25780340025293919</v>
      </c>
      <c r="Y16" s="582">
        <f ca="1">+X16*equityP</f>
        <v>0.15468204015176351</v>
      </c>
      <c r="Z16" s="582">
        <f ca="1">+Y16/(1-taxrate)</f>
        <v>0.19580005082501709</v>
      </c>
      <c r="AA16" s="582">
        <f>debtP*Debt_Rate</f>
        <v>2.0000000000000004E-2</v>
      </c>
      <c r="AB16" s="582">
        <f ca="1">+AA16+Z16</f>
        <v>0.21580005082501708</v>
      </c>
      <c r="AC16" s="582">
        <f ca="1">+AB16/(S16/100)</f>
        <v>7.9971743254394073E-2</v>
      </c>
      <c r="AD16" s="582">
        <f ca="1">1-AC16</f>
        <v>0.92002825674560595</v>
      </c>
      <c r="AE16" s="579">
        <f ca="1">expenses/(AD16)</f>
        <v>2724558.4433888388</v>
      </c>
      <c r="AF16" s="581">
        <f ca="1">+AE16-Revenue</f>
        <v>96119.902388838585</v>
      </c>
      <c r="AG16" s="580">
        <f ca="1">+AF16/$J$49</f>
        <v>106836.17356714391</v>
      </c>
      <c r="AH16" s="580">
        <f ca="1">+AG16*$J$47</f>
        <v>2414.4975226174524</v>
      </c>
      <c r="AI16" s="579">
        <f ca="1">ROUND(+AH16+AE16,5)</f>
        <v>2726972.9409099999</v>
      </c>
    </row>
    <row r="17" spans="1:35" ht="15.75">
      <c r="A17" s="468"/>
      <c r="B17" s="779"/>
      <c r="C17" s="780"/>
      <c r="D17" s="468" t="s">
        <v>1214</v>
      </c>
      <c r="E17" s="468"/>
      <c r="F17" s="505">
        <f t="shared" si="0"/>
        <v>11</v>
      </c>
      <c r="G17" s="506"/>
      <c r="H17" s="506"/>
      <c r="I17" s="506"/>
      <c r="K17" s="506"/>
      <c r="L17" s="554"/>
      <c r="M17" s="554"/>
      <c r="N17" s="556"/>
      <c r="O17" s="468"/>
      <c r="P17" s="468"/>
      <c r="R17" s="544">
        <v>2</v>
      </c>
      <c r="S17" s="539">
        <f ca="1">AI12/Investment*100</f>
        <v>269.43211264654542</v>
      </c>
      <c r="T17" s="543">
        <f ca="1">EXP(y_inter2-(slope*LN(+S17)))</f>
        <v>6.5681770451725301</v>
      </c>
      <c r="U17" s="537">
        <f ca="1">(+S17*T17/100)/100</f>
        <v>0.17696778175173791</v>
      </c>
      <c r="V17" s="537">
        <f>regDebt_weighted</f>
        <v>3.5860000000000003E-2</v>
      </c>
      <c r="W17" s="537">
        <f ca="1">+U17-V17</f>
        <v>0.14110778175173791</v>
      </c>
      <c r="X17" s="537">
        <f ca="1">+((W17*(1-0.34))-Pfd_weighted)/Equity_percent</f>
        <v>0.25273586033763668</v>
      </c>
      <c r="Y17" s="537">
        <f ca="1">+X17*equityP</f>
        <v>0.15164151620258201</v>
      </c>
      <c r="Z17" s="537">
        <f ca="1">+Y17/(1-taxrate)</f>
        <v>0.19195128633238229</v>
      </c>
      <c r="AA17" s="537">
        <f>debtP*Debt_Rate</f>
        <v>2.0000000000000004E-2</v>
      </c>
      <c r="AB17" s="537">
        <f ca="1">+AA17+Z17</f>
        <v>0.2119512863323823</v>
      </c>
      <c r="AC17" s="537">
        <f ca="1">+AB17/(S17/100)</f>
        <v>7.8665933414711647E-2</v>
      </c>
      <c r="AD17" s="537">
        <f ca="1">1-AC17</f>
        <v>0.92133406658528838</v>
      </c>
      <c r="AE17" s="534">
        <f ca="1">expenses/(AD17)</f>
        <v>2720696.9176369985</v>
      </c>
      <c r="AF17" s="536">
        <f ca="1">+AE17-Revenue</f>
        <v>92258.376636998262</v>
      </c>
      <c r="AG17" s="535">
        <f ca="1">+AF17/$J$49</f>
        <v>102544.13180259136</v>
      </c>
      <c r="AH17" s="535">
        <f ca="1">+AG17*$J$47</f>
        <v>2317.4973787385652</v>
      </c>
      <c r="AI17" s="534">
        <f ca="1">ROUND(+AH17+AE17,5)</f>
        <v>2723014.4150200002</v>
      </c>
    </row>
    <row r="18" spans="1:35" ht="15.75">
      <c r="A18" s="468"/>
      <c r="B18" s="781" t="s">
        <v>1213</v>
      </c>
      <c r="C18" s="781"/>
      <c r="D18" s="468"/>
      <c r="E18" s="468"/>
      <c r="F18" s="505">
        <f t="shared" si="0"/>
        <v>12</v>
      </c>
      <c r="G18" s="506"/>
      <c r="H18" s="751" t="s">
        <v>143</v>
      </c>
      <c r="I18" s="736"/>
      <c r="J18" s="736"/>
      <c r="K18" s="736"/>
      <c r="L18" s="736"/>
      <c r="M18" s="735"/>
      <c r="O18" s="468"/>
      <c r="P18" s="468"/>
      <c r="R18" s="512">
        <v>3</v>
      </c>
      <c r="S18" s="539">
        <f ca="1">AI13/Investment*100</f>
        <v>269.15442769719914</v>
      </c>
      <c r="T18" s="540">
        <f ca="1">EXP(y_inter3-(slope*LN(S18)))</f>
        <v>6.5089054080485438</v>
      </c>
      <c r="U18" s="537">
        <f ca="1">(+S18*T18/100)/100</f>
        <v>0.17519007100385103</v>
      </c>
      <c r="V18" s="537">
        <f>regDebt_weighted</f>
        <v>3.5860000000000003E-2</v>
      </c>
      <c r="W18" s="537">
        <f ca="1">+U18-V18</f>
        <v>0.13933007100385103</v>
      </c>
      <c r="X18" s="537">
        <f ca="1">+((W18*(1-0.34))-Pfd_weighted)/Equity_percent</f>
        <v>0.24932513622831884</v>
      </c>
      <c r="Y18" s="537">
        <f ca="1">+X18*equityP</f>
        <v>0.14959508173699129</v>
      </c>
      <c r="Z18" s="537">
        <f ca="1">+Y18/(1-taxrate)</f>
        <v>0.18936086295821683</v>
      </c>
      <c r="AA18" s="537">
        <f>debtP*Debt_Rate</f>
        <v>2.0000000000000004E-2</v>
      </c>
      <c r="AB18" s="537">
        <f ca="1">+AA18+Z18</f>
        <v>0.20936086295821682</v>
      </c>
      <c r="AC18" s="537">
        <f ca="1">+AB18/(S18/100)</f>
        <v>7.7784662414600678E-2</v>
      </c>
      <c r="AD18" s="537">
        <f ca="1">1-AC18</f>
        <v>0.92221533758539931</v>
      </c>
      <c r="AE18" s="534">
        <f ca="1">expenses/(AD18)</f>
        <v>2718097.0136927823</v>
      </c>
      <c r="AF18" s="536">
        <f ca="1">+AE18-Revenue</f>
        <v>89658.472692782059</v>
      </c>
      <c r="AG18" s="535">
        <f ca="1">+AF18/$J$49</f>
        <v>99654.368266226826</v>
      </c>
      <c r="AH18" s="535">
        <f ca="1">+AG18*$J$47</f>
        <v>2252.1887228167266</v>
      </c>
      <c r="AI18" s="534">
        <f ca="1">ROUND(+AH18+AE18,5)</f>
        <v>2720349.20242</v>
      </c>
    </row>
    <row r="19" spans="1:35" ht="15.75">
      <c r="A19" s="468"/>
      <c r="B19" s="468"/>
      <c r="C19" s="468"/>
      <c r="D19" s="468"/>
      <c r="E19" s="468"/>
      <c r="F19" s="505">
        <f t="shared" si="0"/>
        <v>13</v>
      </c>
      <c r="G19" s="506"/>
      <c r="H19" s="504"/>
      <c r="I19" s="570" t="s">
        <v>1212</v>
      </c>
      <c r="J19" s="507">
        <f>+Revenue</f>
        <v>2628438.5410000002</v>
      </c>
      <c r="K19" s="571"/>
      <c r="L19" s="570" t="s">
        <v>1211</v>
      </c>
      <c r="M19" s="569">
        <f ca="1">+J7</f>
        <v>89615.258022537455</v>
      </c>
      <c r="O19" s="468"/>
      <c r="P19" s="468"/>
      <c r="R19" s="518">
        <v>4</v>
      </c>
      <c r="S19" s="539">
        <f ca="1">AI14/Investment*100</f>
        <v>268.977094069423</v>
      </c>
      <c r="T19" s="538">
        <f ca="1">EXP(y_inter4-(slope*LN(S19)))</f>
        <v>6.4709432721448428</v>
      </c>
      <c r="U19" s="537">
        <f ca="1">(+S19*T19/100)/100</f>
        <v>0.17405355172296033</v>
      </c>
      <c r="V19" s="537">
        <f>regDebt_weighted</f>
        <v>3.5860000000000003E-2</v>
      </c>
      <c r="W19" s="537">
        <f ca="1">+U19-V19</f>
        <v>0.13819355172296033</v>
      </c>
      <c r="X19" s="537">
        <f ca="1">+((W19*(1-0.34))-Pfd_weighted)/Equity_percent</f>
        <v>0.24714460504986574</v>
      </c>
      <c r="Y19" s="537">
        <f ca="1">+X19*equityP</f>
        <v>0.14828676302991944</v>
      </c>
      <c r="Z19" s="537">
        <f ca="1">+Y19/(1-taxrate)</f>
        <v>0.18770476332901195</v>
      </c>
      <c r="AA19" s="537">
        <f>debtP*Debt_Rate</f>
        <v>2.0000000000000004E-2</v>
      </c>
      <c r="AB19" s="537">
        <f ca="1">+AA19+Z19</f>
        <v>0.20770476332901194</v>
      </c>
      <c r="AC19" s="537">
        <f ca="1">+AB19/(S19/100)</f>
        <v>7.7220242135340844E-2</v>
      </c>
      <c r="AD19" s="537">
        <f ca="1">1-AC19</f>
        <v>0.92277975786465916</v>
      </c>
      <c r="AE19" s="534">
        <f ca="1">expenses/(AD19)</f>
        <v>2716434.4836443621</v>
      </c>
      <c r="AF19" s="536">
        <f ca="1">+AE19-Revenue</f>
        <v>87995.942644361872</v>
      </c>
      <c r="AG19" s="535">
        <f ca="1">+AF19/$J$49</f>
        <v>97806.485107803688</v>
      </c>
      <c r="AH19" s="535">
        <f ca="1">+AG19*$J$47</f>
        <v>2210.4265634363637</v>
      </c>
      <c r="AI19" s="534">
        <f ca="1">ROUND(+AH19+AE19,5)</f>
        <v>2718644.9102099999</v>
      </c>
    </row>
    <row r="20" spans="1:35" ht="15.75">
      <c r="A20" s="468"/>
      <c r="B20" s="568"/>
      <c r="C20" s="468"/>
      <c r="D20" s="468"/>
      <c r="E20" s="468"/>
      <c r="F20" s="505">
        <f t="shared" si="0"/>
        <v>14</v>
      </c>
      <c r="G20" s="506"/>
      <c r="H20" s="504"/>
      <c r="I20" s="570" t="s">
        <v>1207</v>
      </c>
      <c r="J20" s="507">
        <f ca="1">+J21-J19</f>
        <v>91866.361208315007</v>
      </c>
      <c r="K20" s="571"/>
      <c r="L20" s="570" t="s">
        <v>1210</v>
      </c>
      <c r="M20" s="569">
        <f ca="1">+L8</f>
        <v>2251.1031857775233</v>
      </c>
      <c r="O20" s="468"/>
      <c r="P20" s="468"/>
      <c r="R20" s="450" t="s">
        <v>1209</v>
      </c>
    </row>
    <row r="21" spans="1:35" ht="16.5" thickBot="1">
      <c r="A21" s="468"/>
      <c r="B21" s="568" t="s">
        <v>1208</v>
      </c>
      <c r="C21" s="468"/>
      <c r="D21" s="468"/>
      <c r="E21" s="468"/>
      <c r="F21" s="505">
        <f t="shared" si="0"/>
        <v>15</v>
      </c>
      <c r="G21" s="506"/>
      <c r="H21" s="504"/>
      <c r="I21" s="566" t="s">
        <v>143</v>
      </c>
      <c r="J21" s="567">
        <f ca="1">+M7</f>
        <v>2720304.9022083152</v>
      </c>
      <c r="K21" s="463"/>
      <c r="L21" s="566" t="s">
        <v>1207</v>
      </c>
      <c r="M21" s="565">
        <f ca="1">+M19+M20</f>
        <v>91866.361208314978</v>
      </c>
      <c r="O21" s="468"/>
      <c r="P21" s="468"/>
      <c r="R21" s="585">
        <v>1</v>
      </c>
      <c r="S21" s="584">
        <f ca="1">AI16/Investment*100</f>
        <v>269.87725662266718</v>
      </c>
      <c r="T21" s="583">
        <f ca="1">EXP(y_inter1-(slope*LN(+S21)))</f>
        <v>6.6554610609346332</v>
      </c>
      <c r="U21" s="582">
        <f ca="1">(+S21*T21/100)/100</f>
        <v>0.17961575726840248</v>
      </c>
      <c r="V21" s="582">
        <f>regDebt_weighted</f>
        <v>3.5860000000000003E-2</v>
      </c>
      <c r="W21" s="582">
        <f ca="1">+U21-V21</f>
        <v>0.14375575726840248</v>
      </c>
      <c r="X21" s="582">
        <f ca="1">+((W21*(1-0.34))-Pfd_weighted)/Equity_percent</f>
        <v>0.25781627848007449</v>
      </c>
      <c r="Y21" s="582">
        <f ca="1">+X21*equityP</f>
        <v>0.15468976708804469</v>
      </c>
      <c r="Z21" s="582">
        <f ca="1">+Y21/(1-taxrate)</f>
        <v>0.19580983175701858</v>
      </c>
      <c r="AA21" s="582">
        <f>debtP*Debt_Rate</f>
        <v>2.0000000000000004E-2</v>
      </c>
      <c r="AB21" s="582">
        <f ca="1">+AA21+Z21</f>
        <v>0.21580983175701857</v>
      </c>
      <c r="AC21" s="582">
        <f ca="1">+AB21/(S21/100)</f>
        <v>7.9965920232676832E-2</v>
      </c>
      <c r="AD21" s="582">
        <f ca="1">1-AC21</f>
        <v>0.92003407976732321</v>
      </c>
      <c r="AE21" s="579">
        <f ca="1">expenses/(AD21)</f>
        <v>2724541.1992852399</v>
      </c>
      <c r="AF21" s="581">
        <f ca="1">+AE21-Revenue</f>
        <v>96102.658285239711</v>
      </c>
      <c r="AG21" s="580">
        <f ca="1">+AF21/$J$49</f>
        <v>106817.00694296605</v>
      </c>
      <c r="AH21" s="580">
        <f ca="1">+AG21*$J$47</f>
        <v>2414.064356911033</v>
      </c>
      <c r="AI21" s="579">
        <f ca="1">ROUND(+AH21+AE21,5)</f>
        <v>2726955.26364</v>
      </c>
    </row>
    <row r="22" spans="1:35" ht="16.5" thickTop="1">
      <c r="A22" s="468"/>
      <c r="B22" s="468" t="s">
        <v>1206</v>
      </c>
      <c r="C22" s="468"/>
      <c r="D22" s="468"/>
      <c r="E22" s="468"/>
      <c r="F22" s="505">
        <f t="shared" si="0"/>
        <v>16</v>
      </c>
      <c r="G22" s="506"/>
      <c r="H22" s="460"/>
      <c r="I22" s="516"/>
      <c r="J22" s="750" t="s">
        <v>1479</v>
      </c>
      <c r="K22" s="749">
        <f ca="1">+(J21/J19)-1</f>
        <v>3.4950926101305679E-2</v>
      </c>
      <c r="L22" s="516"/>
      <c r="M22" s="515"/>
      <c r="O22" s="468"/>
      <c r="P22" s="468"/>
      <c r="R22" s="544">
        <v>2</v>
      </c>
      <c r="S22" s="539">
        <f ca="1">AI17/Investment*100</f>
        <v>269.48549765379875</v>
      </c>
      <c r="T22" s="543">
        <f ca="1">EXP(y_inter2-(slope*LN(+S22)))</f>
        <v>6.5672874572261764</v>
      </c>
      <c r="U22" s="537">
        <f ca="1">(+S22*T22/100)/100</f>
        <v>0.17697887286461467</v>
      </c>
      <c r="V22" s="537">
        <f>regDebt_weighted</f>
        <v>3.5860000000000003E-2</v>
      </c>
      <c r="W22" s="537">
        <f ca="1">+U22-V22</f>
        <v>0.14111887286461466</v>
      </c>
      <c r="X22" s="537">
        <f ca="1">+((W22*(1-0.34))-Pfd_weighted)/Equity_percent</f>
        <v>0.2527571397983886</v>
      </c>
      <c r="Y22" s="537">
        <f ca="1">+X22*equityP</f>
        <v>0.15165428387903315</v>
      </c>
      <c r="Z22" s="537">
        <f ca="1">+Y22/(1-taxrate)</f>
        <v>0.19196744794814322</v>
      </c>
      <c r="AA22" s="537">
        <f>debtP*Debt_Rate</f>
        <v>2.0000000000000004E-2</v>
      </c>
      <c r="AB22" s="537">
        <f ca="1">+AA22+Z22</f>
        <v>0.21196744794814321</v>
      </c>
      <c r="AC22" s="537">
        <f ca="1">+AB22/(S22/100)</f>
        <v>7.8656346925374238E-2</v>
      </c>
      <c r="AD22" s="537">
        <f ca="1">1-AC22</f>
        <v>0.92134365307462573</v>
      </c>
      <c r="AE22" s="534">
        <f ca="1">expenses/(AD22)</f>
        <v>2720668.6090553915</v>
      </c>
      <c r="AF22" s="536">
        <f ca="1">+AE22-Revenue</f>
        <v>92230.068055391312</v>
      </c>
      <c r="AG22" s="535">
        <f ca="1">+AF22/$J$49</f>
        <v>102512.66713749251</v>
      </c>
      <c r="AH22" s="535">
        <f ca="1">+AG22*$J$47</f>
        <v>2316.7862773073307</v>
      </c>
      <c r="AI22" s="534">
        <f ca="1">ROUND(+AH22+AE22,5)</f>
        <v>2722985.3953300002</v>
      </c>
    </row>
    <row r="23" spans="1:35" ht="15.75">
      <c r="A23" s="468"/>
      <c r="B23" s="468" t="s">
        <v>1205</v>
      </c>
      <c r="C23" s="468"/>
      <c r="D23" s="468"/>
      <c r="E23" s="468"/>
      <c r="F23" s="505">
        <f t="shared" si="0"/>
        <v>17</v>
      </c>
      <c r="H23" s="506"/>
      <c r="I23" s="506"/>
      <c r="J23" s="506"/>
      <c r="K23" s="506"/>
      <c r="L23" s="506"/>
      <c r="M23" s="506"/>
      <c r="N23" s="506"/>
      <c r="O23" s="468"/>
      <c r="P23" s="468"/>
      <c r="R23" s="512">
        <v>3</v>
      </c>
      <c r="S23" s="539">
        <f ca="1">AI18/Investment*100</f>
        <v>269.22173256320559</v>
      </c>
      <c r="T23" s="540">
        <f ca="1">EXP(y_inter3-(slope*LN(S23)))</f>
        <v>6.5077928875894164</v>
      </c>
      <c r="U23" s="537">
        <f ca="1">(+S23*T23/100)/100</f>
        <v>0.17520392763593293</v>
      </c>
      <c r="V23" s="537">
        <f>regDebt_weighted</f>
        <v>3.5860000000000003E-2</v>
      </c>
      <c r="W23" s="537">
        <f ca="1">+U23-V23</f>
        <v>0.13934392763593292</v>
      </c>
      <c r="X23" s="537">
        <f ca="1">+((W23*(1-0.34))-Pfd_weighted)/Equity_percent</f>
        <v>0.24935172162708058</v>
      </c>
      <c r="Y23" s="537">
        <f ca="1">+X23*equityP</f>
        <v>0.14961103297624834</v>
      </c>
      <c r="Z23" s="537">
        <f ca="1">+Y23/(1-taxrate)</f>
        <v>0.18938105440031433</v>
      </c>
      <c r="AA23" s="537">
        <f>debtP*Debt_Rate</f>
        <v>2.0000000000000004E-2</v>
      </c>
      <c r="AB23" s="537">
        <f ca="1">+AA23+Z23</f>
        <v>0.20938105440031435</v>
      </c>
      <c r="AC23" s="537">
        <f ca="1">+AB23/(S23/100)</f>
        <v>7.777271634308261E-2</v>
      </c>
      <c r="AD23" s="537">
        <f ca="1">1-AC23</f>
        <v>0.92222728365691742</v>
      </c>
      <c r="AE23" s="534">
        <f ca="1">expenses/(AD23)</f>
        <v>2718061.8048219387</v>
      </c>
      <c r="AF23" s="536">
        <f ca="1">+AE23-Revenue</f>
        <v>89623.263821938541</v>
      </c>
      <c r="AG23" s="535">
        <f ca="1">+AF23/$J$49</f>
        <v>99615.234008460684</v>
      </c>
      <c r="AH23" s="535">
        <f ca="1">+AG23*$J$47</f>
        <v>2251.3042885912118</v>
      </c>
      <c r="AI23" s="534">
        <f ca="1">ROUND(+AH23+AE23,5)</f>
        <v>2720313.1091100001</v>
      </c>
    </row>
    <row r="24" spans="1:35" ht="15.75">
      <c r="A24" s="468"/>
      <c r="B24" s="468" t="s">
        <v>1204</v>
      </c>
      <c r="C24" s="468"/>
      <c r="D24" s="468"/>
      <c r="E24" s="468"/>
      <c r="F24" s="505">
        <f t="shared" si="0"/>
        <v>18</v>
      </c>
      <c r="H24" s="501"/>
      <c r="J24" s="564" t="s">
        <v>1203</v>
      </c>
      <c r="K24" s="563" t="s">
        <v>1202</v>
      </c>
      <c r="L24" s="563"/>
      <c r="M24" s="563"/>
      <c r="N24" s="563"/>
      <c r="O24" s="468"/>
      <c r="P24" s="468"/>
      <c r="R24" s="518">
        <v>4</v>
      </c>
      <c r="S24" s="539">
        <f ca="1">AI19/Investment*100</f>
        <v>269.05306579749697</v>
      </c>
      <c r="T24" s="538">
        <f ca="1">EXP(y_inter4-(slope*LN(S24)))</f>
        <v>6.4696940272782406</v>
      </c>
      <c r="U24" s="537">
        <f ca="1">(+S24*T24/100)/100</f>
        <v>0.17406910128109657</v>
      </c>
      <c r="V24" s="537">
        <f>regDebt_weighted</f>
        <v>3.5860000000000003E-2</v>
      </c>
      <c r="W24" s="537">
        <f ca="1">+U24-V24</f>
        <v>0.13820910128109656</v>
      </c>
      <c r="X24" s="537">
        <f ca="1">+((W24*(1-0.34))-Pfd_weighted)/Equity_percent</f>
        <v>0.24717443850442944</v>
      </c>
      <c r="Y24" s="537">
        <f ca="1">+X24*equityP</f>
        <v>0.14830466310265766</v>
      </c>
      <c r="Z24" s="537">
        <f ca="1">+Y24/(1-taxrate)</f>
        <v>0.18772742164893375</v>
      </c>
      <c r="AA24" s="537">
        <f>debtP*Debt_Rate</f>
        <v>2.0000000000000004E-2</v>
      </c>
      <c r="AB24" s="537">
        <f ca="1">+AA24+Z24</f>
        <v>0.20772742164893376</v>
      </c>
      <c r="AC24" s="537">
        <f ca="1">+AB24/(S24/100)</f>
        <v>7.7206859187131507E-2</v>
      </c>
      <c r="AD24" s="537">
        <f ca="1">1-AC24</f>
        <v>0.92279314081286845</v>
      </c>
      <c r="AE24" s="534">
        <f ca="1">expenses/(AD24)</f>
        <v>2716395.0881391284</v>
      </c>
      <c r="AF24" s="536">
        <f ca="1">+AE24-Revenue</f>
        <v>87956.547139128204</v>
      </c>
      <c r="AG24" s="535">
        <f ca="1">+AF24/$J$49</f>
        <v>97762.697453735091</v>
      </c>
      <c r="AH24" s="535">
        <f ca="1">+AG24*$J$47</f>
        <v>2209.4369624544133</v>
      </c>
      <c r="AI24" s="534">
        <f ca="1">ROUND(+AH24+AE24,5)</f>
        <v>2718604.5251000002</v>
      </c>
    </row>
    <row r="25" spans="1:35" ht="15.75">
      <c r="A25" s="468"/>
      <c r="B25" s="468" t="s">
        <v>1201</v>
      </c>
      <c r="C25" s="468"/>
      <c r="D25" s="468"/>
      <c r="E25" s="468"/>
      <c r="F25" s="505">
        <f t="shared" si="0"/>
        <v>19</v>
      </c>
      <c r="H25" s="561" t="s">
        <v>1200</v>
      </c>
      <c r="I25" s="562" t="s">
        <v>451</v>
      </c>
      <c r="J25" s="560" t="s">
        <v>107</v>
      </c>
      <c r="K25" s="561" t="s">
        <v>1199</v>
      </c>
      <c r="L25" s="560" t="s">
        <v>1183</v>
      </c>
      <c r="M25" s="560" t="s">
        <v>107</v>
      </c>
      <c r="O25" s="468"/>
      <c r="P25" s="468"/>
      <c r="R25" s="450" t="s">
        <v>1198</v>
      </c>
      <c r="W25" s="456"/>
      <c r="X25" s="454"/>
      <c r="Y25" s="453"/>
      <c r="Z25" s="453"/>
      <c r="AA25" s="454"/>
      <c r="AC25" s="454"/>
      <c r="AD25" s="454"/>
      <c r="AE25" s="453"/>
      <c r="AF25" s="456"/>
    </row>
    <row r="26" spans="1:35" ht="15.75">
      <c r="A26" s="468"/>
      <c r="B26" s="468"/>
      <c r="C26" s="468"/>
      <c r="D26" s="468"/>
      <c r="E26" s="468"/>
      <c r="F26" s="505">
        <f t="shared" si="0"/>
        <v>20</v>
      </c>
      <c r="H26" s="554" t="s">
        <v>1176</v>
      </c>
      <c r="I26" s="555">
        <f>1-I27</f>
        <v>0.6</v>
      </c>
      <c r="J26" s="559">
        <f>+I26*J28</f>
        <v>606269.60012182652</v>
      </c>
      <c r="K26" s="556">
        <f ca="1">+K34</f>
        <v>0.24910948070010994</v>
      </c>
      <c r="L26" s="555">
        <f ca="1">+K26*I26</f>
        <v>0.14946568842006597</v>
      </c>
      <c r="M26" s="558">
        <f ca="1">+J26*K26</f>
        <v>151027.50525061152</v>
      </c>
      <c r="O26" s="468"/>
      <c r="P26" s="468"/>
      <c r="R26" s="585">
        <v>1</v>
      </c>
      <c r="S26" s="584">
        <f ca="1">AI21/Investment*100</f>
        <v>269.87550717621662</v>
      </c>
      <c r="T26" s="583">
        <f ca="1">EXP(y_inter1-(slope*LN(+S26)))</f>
        <v>6.655490556817961</v>
      </c>
      <c r="U26" s="582">
        <f ca="1">(+S26*T26/100)/100</f>
        <v>0.17961538895277673</v>
      </c>
      <c r="V26" s="582">
        <f>regDebt_weighted</f>
        <v>3.5860000000000003E-2</v>
      </c>
      <c r="W26" s="582">
        <f ca="1">+U26-V26</f>
        <v>0.14375538895277673</v>
      </c>
      <c r="X26" s="582">
        <f ca="1">+((W26*(1-0.34))-Pfd_weighted)/Equity_percent</f>
        <v>0.25781557182800185</v>
      </c>
      <c r="Y26" s="582">
        <f ca="1">+X26*equityP</f>
        <v>0.1546893430968011</v>
      </c>
      <c r="Z26" s="582">
        <f ca="1">+Y26/(1-taxrate)</f>
        <v>0.19580929505924188</v>
      </c>
      <c r="AA26" s="582">
        <f>debtP*Debt_Rate</f>
        <v>2.0000000000000004E-2</v>
      </c>
      <c r="AB26" s="582">
        <f ca="1">+AA26+Z26</f>
        <v>0.2158092950592419</v>
      </c>
      <c r="AC26" s="582">
        <f ca="1">+AB26/(S26/100)</f>
        <v>7.9966239736727243E-2</v>
      </c>
      <c r="AD26" s="582">
        <f ca="1">1-AC26</f>
        <v>0.92003376026327277</v>
      </c>
      <c r="AE26" s="579">
        <f ca="1">expenses/(AD26)</f>
        <v>2724542.1454482903</v>
      </c>
      <c r="AF26" s="581">
        <f ca="1">+AE26-Revenue</f>
        <v>96103.604448290076</v>
      </c>
      <c r="AG26" s="580">
        <f ca="1">+AF26/$J$49</f>
        <v>106818.0585923889</v>
      </c>
      <c r="AH26" s="580">
        <f ca="1">+AG26*$J$47</f>
        <v>2414.0881241879893</v>
      </c>
      <c r="AI26" s="579">
        <f ca="1">ROUND(+AH26+AE26,5)</f>
        <v>2726956.2335700002</v>
      </c>
    </row>
    <row r="27" spans="1:35" ht="15.75">
      <c r="A27" s="468"/>
      <c r="B27" s="468"/>
      <c r="C27" s="468"/>
      <c r="D27" s="468"/>
      <c r="E27" s="468"/>
      <c r="F27" s="505">
        <f t="shared" si="0"/>
        <v>21</v>
      </c>
      <c r="H27" s="554" t="s">
        <v>1180</v>
      </c>
      <c r="I27" s="555">
        <f>IF(A65=TRUE,C8,0)</f>
        <v>0.4</v>
      </c>
      <c r="J27" s="557">
        <f>+I27*J28</f>
        <v>404179.73341455107</v>
      </c>
      <c r="K27" s="556">
        <f>IF(A65=TRUE,C9,0)</f>
        <v>0.05</v>
      </c>
      <c r="L27" s="555">
        <f>+K27*I27</f>
        <v>2.0000000000000004E-2</v>
      </c>
      <c r="M27" s="507">
        <f>+K27*J27</f>
        <v>20208.986670727554</v>
      </c>
      <c r="O27" s="468"/>
      <c r="P27" s="468"/>
      <c r="R27" s="544">
        <v>2</v>
      </c>
      <c r="S27" s="539">
        <f ca="1">AI22/Investment*100</f>
        <v>269.48262569485564</v>
      </c>
      <c r="T27" s="543">
        <f ca="1">EXP(y_inter2-(slope*LN(+S27)))</f>
        <v>6.5673353069322218</v>
      </c>
      <c r="U27" s="537">
        <f ca="1">(+S27*T27/100)/100</f>
        <v>0.17697827623306256</v>
      </c>
      <c r="V27" s="537">
        <f>regDebt_weighted</f>
        <v>3.5860000000000003E-2</v>
      </c>
      <c r="W27" s="537">
        <f ca="1">+U27-V27</f>
        <v>0.14111827623306256</v>
      </c>
      <c r="X27" s="537">
        <f ca="1">+((W27*(1-0.34))-Pfd_weighted)/Equity_percent</f>
        <v>0.2527559950983177</v>
      </c>
      <c r="Y27" s="537">
        <f ca="1">+X27*equityP</f>
        <v>0.15165359705899062</v>
      </c>
      <c r="Z27" s="537">
        <f ca="1">+Y27/(1-taxrate)</f>
        <v>0.19196657855568433</v>
      </c>
      <c r="AA27" s="537">
        <f>debtP*Debt_Rate</f>
        <v>2.0000000000000004E-2</v>
      </c>
      <c r="AB27" s="537">
        <f ca="1">+AA27+Z27</f>
        <v>0.21196657855568435</v>
      </c>
      <c r="AC27" s="537">
        <f ca="1">+AB27/(S27/100)</f>
        <v>7.8656862574769962E-2</v>
      </c>
      <c r="AD27" s="537">
        <f ca="1">1-AC27</f>
        <v>0.92134313742523</v>
      </c>
      <c r="AE27" s="534">
        <f ca="1">expenses/(AD27)</f>
        <v>2720670.1317357775</v>
      </c>
      <c r="AF27" s="536">
        <f ca="1">+AE27-Revenue</f>
        <v>92231.590735777281</v>
      </c>
      <c r="AG27" s="535">
        <f ca="1">+AF27/$J$49</f>
        <v>102514.35957934856</v>
      </c>
      <c r="AH27" s="535">
        <f ca="1">+AG27*$J$47</f>
        <v>2316.8245264932775</v>
      </c>
      <c r="AI27" s="534">
        <f ca="1">ROUND(+AH27+AE27,5)</f>
        <v>2722986.9562599999</v>
      </c>
    </row>
    <row r="28" spans="1:35" ht="16.5" thickBot="1">
      <c r="A28" s="468"/>
      <c r="B28" s="468"/>
      <c r="C28" s="468"/>
      <c r="D28" s="468"/>
      <c r="E28" s="468"/>
      <c r="F28" s="505">
        <f t="shared" si="0"/>
        <v>22</v>
      </c>
      <c r="H28" s="554" t="s">
        <v>2</v>
      </c>
      <c r="I28" s="553">
        <f>SUM(I26:I27)</f>
        <v>1</v>
      </c>
      <c r="J28" s="513">
        <f>IF(A65=TRUE,C7,0)</f>
        <v>1010449.3335363776</v>
      </c>
      <c r="K28" s="552"/>
      <c r="L28" s="551">
        <f ca="1">SUM(L26:L27)</f>
        <v>0.16946568842006599</v>
      </c>
      <c r="M28" s="513">
        <f ca="1">SUM(M26:M27)</f>
        <v>171236.49192133907</v>
      </c>
      <c r="O28" s="468"/>
      <c r="P28" s="468"/>
      <c r="R28" s="512">
        <v>3</v>
      </c>
      <c r="S28" s="539">
        <f ca="1">AI23/Investment*100</f>
        <v>269.21816055728686</v>
      </c>
      <c r="T28" s="540">
        <f ca="1">EXP(y_inter3-(slope*LN(S28)))</f>
        <v>6.5078519195424658</v>
      </c>
      <c r="U28" s="537">
        <f ca="1">(+S28*T28/100)/100</f>
        <v>0.17520319229584311</v>
      </c>
      <c r="V28" s="537">
        <f>regDebt_weighted</f>
        <v>3.5860000000000003E-2</v>
      </c>
      <c r="W28" s="537">
        <f ca="1">+U28-V28</f>
        <v>0.1393431922958431</v>
      </c>
      <c r="X28" s="537">
        <f ca="1">+((W28*(1-0.34))-Pfd_weighted)/Equity_percent</f>
        <v>0.24935031080016409</v>
      </c>
      <c r="Y28" s="537">
        <f ca="1">+X28*equityP</f>
        <v>0.14961018648009844</v>
      </c>
      <c r="Z28" s="537">
        <f ca="1">+Y28/(1-taxrate)</f>
        <v>0.18937998288620056</v>
      </c>
      <c r="AA28" s="537">
        <f>debtP*Debt_Rate</f>
        <v>2.0000000000000004E-2</v>
      </c>
      <c r="AB28" s="537">
        <f ca="1">+AA28+Z28</f>
        <v>0.20937998288620058</v>
      </c>
      <c r="AC28" s="537">
        <f ca="1">+AB28/(S28/100)</f>
        <v>7.7773350227480914E-2</v>
      </c>
      <c r="AD28" s="537">
        <f ca="1">1-AC28</f>
        <v>0.92222664977251911</v>
      </c>
      <c r="AE28" s="534">
        <f ca="1">expenses/(AD28)</f>
        <v>2718063.6730578784</v>
      </c>
      <c r="AF28" s="536">
        <f ca="1">+AE28-Revenue</f>
        <v>89625.132057878189</v>
      </c>
      <c r="AG28" s="535">
        <f ca="1">+AF28/$J$49</f>
        <v>99617.310531367519</v>
      </c>
      <c r="AH28" s="535">
        <f ca="1">+AG28*$J$47</f>
        <v>2251.351218008906</v>
      </c>
      <c r="AI28" s="534">
        <f ca="1">ROUND(+AH28+AE28,5)</f>
        <v>2720315.02428</v>
      </c>
    </row>
    <row r="29" spans="1:35" ht="16.5" thickTop="1">
      <c r="A29" s="468"/>
      <c r="B29" s="468"/>
      <c r="C29" s="468"/>
      <c r="D29" s="468"/>
      <c r="E29" s="468"/>
      <c r="F29" s="505">
        <f t="shared" si="0"/>
        <v>23</v>
      </c>
      <c r="G29" s="506"/>
      <c r="H29" s="506"/>
      <c r="I29" s="506"/>
      <c r="J29" s="506"/>
      <c r="K29" s="506"/>
      <c r="L29" s="506"/>
      <c r="M29" s="506"/>
      <c r="N29" s="506"/>
      <c r="O29" s="468"/>
      <c r="P29" s="468"/>
      <c r="R29" s="518">
        <v>4</v>
      </c>
      <c r="S29" s="539">
        <f ca="1">AI24/Investment*100</f>
        <v>269.04906904984631</v>
      </c>
      <c r="T29" s="538">
        <f ca="1">EXP(y_inter4-(slope*LN(S29)))</f>
        <v>6.4697597331950361</v>
      </c>
      <c r="U29" s="537">
        <f ca="1">(+S29*T29/100)/100</f>
        <v>0.17406828331923066</v>
      </c>
      <c r="V29" s="537">
        <f>regDebt_weighted</f>
        <v>3.5860000000000003E-2</v>
      </c>
      <c r="W29" s="537">
        <f ca="1">+U29-V29</f>
        <v>0.13820828331923066</v>
      </c>
      <c r="X29" s="537">
        <f ca="1">+((W29*(1-0.34))-Pfd_weighted)/Equity_percent</f>
        <v>0.24717286915898903</v>
      </c>
      <c r="Y29" s="537">
        <f ca="1">+X29*equityP</f>
        <v>0.14830372149539342</v>
      </c>
      <c r="Z29" s="537">
        <f ca="1">+Y29/(1-taxrate)</f>
        <v>0.18772622974100431</v>
      </c>
      <c r="AA29" s="537">
        <f>debtP*Debt_Rate</f>
        <v>2.0000000000000004E-2</v>
      </c>
      <c r="AB29" s="537">
        <f ca="1">+AA29+Z29</f>
        <v>0.2077262297410043</v>
      </c>
      <c r="AC29" s="537">
        <f ca="1">+AB29/(S29/100)</f>
        <v>7.7207563094194978E-2</v>
      </c>
      <c r="AD29" s="537">
        <f ca="1">1-AC29</f>
        <v>0.92279243690580504</v>
      </c>
      <c r="AE29" s="534">
        <f ca="1">expenses/(AD29)</f>
        <v>2716397.1602082234</v>
      </c>
      <c r="AF29" s="536">
        <f ca="1">+AE29-Revenue</f>
        <v>87958.619208223186</v>
      </c>
      <c r="AG29" s="535">
        <f ca="1">+AF29/$J$49</f>
        <v>97765.000534865772</v>
      </c>
      <c r="AH29" s="535">
        <f ca="1">+AG29*$J$47</f>
        <v>2209.4890120879668</v>
      </c>
      <c r="AI29" s="534">
        <f ca="1">ROUND(+AH29+AE29,5)</f>
        <v>2718606.64922</v>
      </c>
    </row>
    <row r="30" spans="1:35" ht="15.75">
      <c r="A30" s="468"/>
      <c r="B30" s="468"/>
      <c r="C30" s="468"/>
      <c r="D30" s="468"/>
      <c r="E30" s="468"/>
      <c r="F30" s="505">
        <f t="shared" si="0"/>
        <v>24</v>
      </c>
      <c r="G30" s="506"/>
      <c r="H30" s="506"/>
      <c r="I30" s="506"/>
      <c r="J30" s="550" t="s">
        <v>1197</v>
      </c>
      <c r="K30" s="550" t="s">
        <v>1196</v>
      </c>
      <c r="L30" s="506"/>
      <c r="M30" s="506"/>
      <c r="N30" s="506"/>
      <c r="O30" s="468"/>
      <c r="P30" s="468"/>
      <c r="R30" s="450" t="s">
        <v>1195</v>
      </c>
      <c r="W30" s="456"/>
      <c r="X30" s="454"/>
      <c r="Y30" s="453"/>
      <c r="Z30" s="453"/>
      <c r="AA30" s="454"/>
      <c r="AC30" s="454"/>
      <c r="AD30" s="454"/>
      <c r="AE30" s="453"/>
      <c r="AF30" s="456"/>
      <c r="AH30" s="453"/>
    </row>
    <row r="31" spans="1:35" ht="15.75">
      <c r="A31" s="468"/>
      <c r="B31" s="468"/>
      <c r="C31" s="468"/>
      <c r="D31" s="468"/>
      <c r="E31" s="468"/>
      <c r="F31" s="505">
        <f t="shared" si="0"/>
        <v>25</v>
      </c>
      <c r="G31" s="506"/>
      <c r="H31" s="533" t="s">
        <v>1174</v>
      </c>
      <c r="I31" s="549"/>
      <c r="J31" s="548" t="s">
        <v>1194</v>
      </c>
      <c r="K31" s="548" t="s">
        <v>1194</v>
      </c>
      <c r="L31" s="506"/>
      <c r="M31" s="506"/>
      <c r="N31" s="506"/>
      <c r="O31" s="468"/>
      <c r="P31" s="468"/>
      <c r="R31" s="585">
        <v>1</v>
      </c>
      <c r="S31" s="584">
        <f ca="1">AI26/Investment*100</f>
        <v>269.87560316618544</v>
      </c>
      <c r="T31" s="583">
        <f ca="1">EXP(y_inter1-(slope*LN(+S31)))</f>
        <v>6.6554889384068776</v>
      </c>
      <c r="U31" s="582">
        <f ca="1">(+S31*T31/100)/100</f>
        <v>0.17961540916184313</v>
      </c>
      <c r="V31" s="582">
        <f>regDebt_weighted</f>
        <v>3.5860000000000003E-2</v>
      </c>
      <c r="W31" s="582">
        <f ca="1">+U31-V31</f>
        <v>0.14375540916184312</v>
      </c>
      <c r="X31" s="582">
        <f ca="1">+((W31*(1-0.34))-Pfd_weighted)/Equity_percent</f>
        <v>0.25781561060121061</v>
      </c>
      <c r="Y31" s="582">
        <f ca="1">+X31*equityP</f>
        <v>0.15468936636072636</v>
      </c>
      <c r="Z31" s="582">
        <f ca="1">+Y31/(1-taxrate)</f>
        <v>0.19580932450724856</v>
      </c>
      <c r="AA31" s="582">
        <f>debtP*Debt_Rate</f>
        <v>2.0000000000000004E-2</v>
      </c>
      <c r="AB31" s="582">
        <f ca="1">+AA31+Z31</f>
        <v>0.21580932450724855</v>
      </c>
      <c r="AC31" s="582">
        <f ca="1">+AB31/(S31/100)</f>
        <v>7.9966222205849535E-2</v>
      </c>
      <c r="AD31" s="582">
        <f ca="1">1-AC31</f>
        <v>0.92003377779415052</v>
      </c>
      <c r="AE31" s="579">
        <f ca="1">expenses/(AD31)</f>
        <v>2724542.093533223</v>
      </c>
      <c r="AF31" s="581">
        <f ca="1">+AE31-Revenue</f>
        <v>96103.552533222828</v>
      </c>
      <c r="AG31" s="580">
        <f ca="1">+AF31/$J$49</f>
        <v>106818.00088938465</v>
      </c>
      <c r="AH31" s="580">
        <f ca="1">+AG31*$J$47</f>
        <v>2414.0868201000935</v>
      </c>
      <c r="AI31" s="579">
        <f ca="1">ROUND(+AH31+AE31,5)</f>
        <v>2726956.18035</v>
      </c>
    </row>
    <row r="32" spans="1:35" ht="15.75">
      <c r="A32" s="468"/>
      <c r="B32" s="468"/>
      <c r="C32" s="468"/>
      <c r="D32" s="468"/>
      <c r="E32" s="468"/>
      <c r="F32" s="505">
        <f t="shared" si="0"/>
        <v>26</v>
      </c>
      <c r="G32" s="506"/>
      <c r="H32" s="510"/>
      <c r="I32" s="510"/>
      <c r="J32" s="510"/>
      <c r="K32" s="510"/>
      <c r="L32" s="506"/>
      <c r="M32" s="506"/>
      <c r="N32" s="506"/>
      <c r="O32" s="468"/>
      <c r="P32" s="468"/>
      <c r="R32" s="544">
        <v>2</v>
      </c>
      <c r="S32" s="539">
        <f ca="1">AI27/Investment*100</f>
        <v>269.48278017365516</v>
      </c>
      <c r="T32" s="543">
        <f ca="1">EXP(y_inter2-(slope*LN(+S32)))</f>
        <v>6.567332733139196</v>
      </c>
      <c r="U32" s="537">
        <f ca="1">(+S32*T32/100)/100</f>
        <v>0.17697830832517997</v>
      </c>
      <c r="V32" s="537">
        <f>regDebt_weighted</f>
        <v>3.5860000000000003E-2</v>
      </c>
      <c r="W32" s="537">
        <f ca="1">+U32-V32</f>
        <v>0.14111830832517996</v>
      </c>
      <c r="X32" s="537">
        <f ca="1">+((W32*(1-0.34))-Pfd_weighted)/Equity_percent</f>
        <v>0.25275605667040341</v>
      </c>
      <c r="Y32" s="537">
        <f ca="1">+X32*equityP</f>
        <v>0.15165363400224205</v>
      </c>
      <c r="Z32" s="537">
        <f ca="1">+Y32/(1-taxrate)</f>
        <v>0.19196662531929373</v>
      </c>
      <c r="AA32" s="537">
        <f>debtP*Debt_Rate</f>
        <v>2.0000000000000004E-2</v>
      </c>
      <c r="AB32" s="537">
        <f ca="1">+AA32+Z32</f>
        <v>0.21196662531929372</v>
      </c>
      <c r="AC32" s="537">
        <f ca="1">+AB32/(S32/100)</f>
        <v>7.8656834838464293E-2</v>
      </c>
      <c r="AD32" s="537">
        <f ca="1">1-AC32</f>
        <v>0.92134316516153569</v>
      </c>
      <c r="AE32" s="534">
        <f ca="1">expenses/(AD32)</f>
        <v>2720670.0498321597</v>
      </c>
      <c r="AF32" s="536">
        <f ca="1">+AE32-Revenue</f>
        <v>92231.508832159452</v>
      </c>
      <c r="AG32" s="535">
        <f ca="1">+AF32/$J$49</f>
        <v>102514.26854441289</v>
      </c>
      <c r="AH32" s="535">
        <f ca="1">+AG32*$J$47</f>
        <v>2316.8224691037312</v>
      </c>
      <c r="AI32" s="534">
        <f ca="1">ROUND(+AH32+AE32,5)</f>
        <v>2722986.8722999999</v>
      </c>
    </row>
    <row r="33" spans="1:46" ht="15.75">
      <c r="A33" s="468"/>
      <c r="B33" s="468"/>
      <c r="C33" s="468"/>
      <c r="D33" s="468"/>
      <c r="E33" s="468"/>
      <c r="F33" s="505">
        <f t="shared" si="0"/>
        <v>27</v>
      </c>
      <c r="G33" s="506"/>
      <c r="H33" s="510" t="s">
        <v>1171</v>
      </c>
      <c r="I33" s="510"/>
      <c r="J33" s="542">
        <f ca="1">+K9/J28</f>
        <v>0.20919707394945056</v>
      </c>
      <c r="K33" s="542">
        <f ca="1">+(M14+M11)/J28</f>
        <v>0.16946568842006596</v>
      </c>
      <c r="L33" s="506"/>
      <c r="M33" s="506"/>
      <c r="N33" s="506"/>
      <c r="O33" s="468"/>
      <c r="P33" s="468"/>
      <c r="R33" s="512">
        <v>3</v>
      </c>
      <c r="S33" s="539">
        <f ca="1">AI28/Investment*100</f>
        <v>269.21835009375707</v>
      </c>
      <c r="T33" s="540">
        <f ca="1">EXP(y_inter3-(slope*LN(S33)))</f>
        <v>6.5078487871774549</v>
      </c>
      <c r="U33" s="537">
        <f ca="1">(+S33*T33/100)/100</f>
        <v>0.17520323131435725</v>
      </c>
      <c r="V33" s="537">
        <f>regDebt_weighted</f>
        <v>3.5860000000000003E-2</v>
      </c>
      <c r="W33" s="537">
        <f ca="1">+U33-V33</f>
        <v>0.13934323131435725</v>
      </c>
      <c r="X33" s="537">
        <f ca="1">+((W33*(1-0.34))-Pfd_weighted)/Equity_percent</f>
        <v>0.2493503856612668</v>
      </c>
      <c r="Y33" s="537">
        <f ca="1">+X33*equityP</f>
        <v>0.14961023139676008</v>
      </c>
      <c r="Z33" s="537">
        <f ca="1">+Y33/(1-taxrate)</f>
        <v>0.18938003974273426</v>
      </c>
      <c r="AA33" s="537">
        <f>debtP*Debt_Rate</f>
        <v>2.0000000000000004E-2</v>
      </c>
      <c r="AB33" s="537">
        <f ca="1">+AA33+Z33</f>
        <v>0.20938003974273428</v>
      </c>
      <c r="AC33" s="537">
        <f ca="1">+AB33/(S33/100)</f>
        <v>7.7773316592207153E-2</v>
      </c>
      <c r="AD33" s="537">
        <f ca="1">1-AC33</f>
        <v>0.92222668340779279</v>
      </c>
      <c r="AE33" s="534">
        <f ca="1">expenses/(AD33)</f>
        <v>2718063.5739251846</v>
      </c>
      <c r="AF33" s="536">
        <f ca="1">+AE33-Revenue</f>
        <v>89625.03292518435</v>
      </c>
      <c r="AG33" s="535">
        <f ca="1">+AF33/$J$49</f>
        <v>99617.200346510668</v>
      </c>
      <c r="AH33" s="535">
        <f ca="1">+AG33*$J$47</f>
        <v>2251.3487278311413</v>
      </c>
      <c r="AI33" s="534">
        <f ca="1">ROUND(+AH33+AE33,5)</f>
        <v>2720314.9226500001</v>
      </c>
    </row>
    <row r="34" spans="1:46" ht="15.75">
      <c r="A34" s="468"/>
      <c r="B34" s="468"/>
      <c r="C34" s="468"/>
      <c r="D34" s="468"/>
      <c r="E34" s="468"/>
      <c r="F34" s="505">
        <f t="shared" si="0"/>
        <v>28</v>
      </c>
      <c r="G34" s="506"/>
      <c r="H34" s="510" t="s">
        <v>1170</v>
      </c>
      <c r="I34" s="510"/>
      <c r="J34" s="542">
        <f ca="1">+(M9-M11)/J26</f>
        <v>0.31532845658241765</v>
      </c>
      <c r="K34" s="542">
        <f ca="1">+M14/J26</f>
        <v>0.24910948070010994</v>
      </c>
      <c r="L34" s="506"/>
      <c r="M34" s="506"/>
      <c r="N34" s="506"/>
      <c r="O34" s="547"/>
      <c r="P34" s="468"/>
      <c r="R34" s="518">
        <v>4</v>
      </c>
      <c r="S34" s="539">
        <f ca="1">AI29/Investment*100</f>
        <v>269.04927926523555</v>
      </c>
      <c r="T34" s="538">
        <f ca="1">EXP(y_inter4-(slope*LN(S34)))</f>
        <v>6.469756277245418</v>
      </c>
      <c r="U34" s="537">
        <f ca="1">(+S34*T34/100)/100</f>
        <v>0.17406832634146135</v>
      </c>
      <c r="V34" s="537">
        <f>regDebt_weighted</f>
        <v>3.5860000000000003E-2</v>
      </c>
      <c r="W34" s="537">
        <f ca="1">+U34-V34</f>
        <v>0.13820832634146135</v>
      </c>
      <c r="X34" s="537">
        <f ca="1">+((W34*(1-0.34))-Pfd_weighted)/Equity_percent</f>
        <v>0.24717295170164097</v>
      </c>
      <c r="Y34" s="537">
        <f ca="1">+X34*equityP</f>
        <v>0.14830377102098458</v>
      </c>
      <c r="Z34" s="537">
        <f ca="1">+Y34/(1-taxrate)</f>
        <v>0.18772629243162603</v>
      </c>
      <c r="AA34" s="537">
        <f>debtP*Debt_Rate</f>
        <v>2.0000000000000004E-2</v>
      </c>
      <c r="AB34" s="537">
        <f ca="1">+AA34+Z34</f>
        <v>0.20772629243162605</v>
      </c>
      <c r="AC34" s="537">
        <f ca="1">+AB34/(S34/100)</f>
        <v>7.7207526070658686E-2</v>
      </c>
      <c r="AD34" s="537">
        <f ca="1">1-AC34</f>
        <v>0.92279247392934127</v>
      </c>
      <c r="AE34" s="534">
        <f ca="1">expenses/(AD34)</f>
        <v>2716397.0512231248</v>
      </c>
      <c r="AF34" s="536">
        <f ca="1">+AE34-Revenue</f>
        <v>87958.510223124642</v>
      </c>
      <c r="AG34" s="535">
        <f ca="1">+AF34/$J$49</f>
        <v>97764.879399173631</v>
      </c>
      <c r="AH34" s="535">
        <f ca="1">+AG34*$J$47</f>
        <v>2209.4862744213242</v>
      </c>
      <c r="AI34" s="534">
        <f ca="1">ROUND(+AH34+AE34,5)</f>
        <v>2718606.5375000001</v>
      </c>
    </row>
    <row r="35" spans="1:46" ht="15.75">
      <c r="A35" s="468"/>
      <c r="B35" s="468"/>
      <c r="C35" s="468"/>
      <c r="D35" s="468"/>
      <c r="E35" s="468"/>
      <c r="F35" s="505">
        <f t="shared" si="0"/>
        <v>29</v>
      </c>
      <c r="G35" s="506"/>
      <c r="H35" s="546" t="s">
        <v>1169</v>
      </c>
      <c r="I35" s="510"/>
      <c r="J35" s="542">
        <f ca="1">+K8/K7</f>
        <v>0.92223000000000011</v>
      </c>
      <c r="K35" s="542">
        <f ca="1">+M8/M7</f>
        <v>0.92229435612957056</v>
      </c>
      <c r="L35" s="506"/>
      <c r="M35" s="506"/>
      <c r="N35" s="506"/>
      <c r="O35" s="468"/>
      <c r="P35" s="468"/>
      <c r="R35" s="450" t="s">
        <v>1193</v>
      </c>
      <c r="X35" s="454"/>
      <c r="Y35" s="455"/>
      <c r="Z35" s="453"/>
      <c r="AA35" s="454"/>
      <c r="AC35" s="454"/>
      <c r="AD35" s="454"/>
      <c r="AE35" s="453"/>
      <c r="AF35" s="456"/>
      <c r="AH35" s="453"/>
    </row>
    <row r="36" spans="1:46" ht="15.75">
      <c r="A36" s="468"/>
      <c r="B36" s="468"/>
      <c r="C36" s="468"/>
      <c r="D36" s="468"/>
      <c r="E36" s="468"/>
      <c r="F36" s="505">
        <f t="shared" si="0"/>
        <v>30</v>
      </c>
      <c r="G36" s="506"/>
      <c r="H36" s="510" t="s">
        <v>1168</v>
      </c>
      <c r="I36" s="510"/>
      <c r="J36" s="542">
        <f ca="1">+K9/K7</f>
        <v>7.776999999999995E-2</v>
      </c>
      <c r="K36" s="542">
        <f ca="1">+J36</f>
        <v>7.776999999999995E-2</v>
      </c>
      <c r="L36" s="506"/>
      <c r="M36" s="506"/>
      <c r="N36" s="506"/>
      <c r="O36" s="468"/>
      <c r="P36" s="468"/>
      <c r="R36" s="585">
        <v>1</v>
      </c>
      <c r="S36" s="584">
        <f ca="1">AI31/Investment*100</f>
        <v>269.8755978992217</v>
      </c>
      <c r="T36" s="583">
        <f ca="1">EXP(y_inter1-(slope*LN(+S36)))</f>
        <v>6.6554890272089686</v>
      </c>
      <c r="U36" s="582">
        <f ca="1">(+S36*T36/100)/100</f>
        <v>0.17961540805297296</v>
      </c>
      <c r="V36" s="582">
        <f>regDebt_weighted</f>
        <v>3.5860000000000003E-2</v>
      </c>
      <c r="W36" s="582">
        <f ca="1">+U36-V36</f>
        <v>0.14375540805297296</v>
      </c>
      <c r="X36" s="582">
        <f ca="1">+((W36*(1-0.34))-Pfd_weighted)/Equity_percent</f>
        <v>0.25781560847372714</v>
      </c>
      <c r="Y36" s="582">
        <f ca="1">+X36*equityP</f>
        <v>0.15468936508423628</v>
      </c>
      <c r="Z36" s="582">
        <f ca="1">+Y36/(1-taxrate)</f>
        <v>0.19580932289143832</v>
      </c>
      <c r="AA36" s="582">
        <f>debtP*Debt_Rate</f>
        <v>2.0000000000000004E-2</v>
      </c>
      <c r="AB36" s="582">
        <f ca="1">+AA36+Z36</f>
        <v>0.21580932289143834</v>
      </c>
      <c r="AC36" s="582">
        <f ca="1">+AB36/(S36/100)</f>
        <v>7.9966223167767456E-2</v>
      </c>
      <c r="AD36" s="582">
        <f ca="1">1-AC36</f>
        <v>0.92003377683223253</v>
      </c>
      <c r="AE36" s="579">
        <f ca="1">expenses/(AD36)</f>
        <v>2724542.0963817989</v>
      </c>
      <c r="AF36" s="581">
        <f ca="1">+AE36-Revenue</f>
        <v>96103.555381798651</v>
      </c>
      <c r="AG36" s="580">
        <f ca="1">+AF36/$J$49</f>
        <v>106818.00405554415</v>
      </c>
      <c r="AH36" s="580">
        <f ca="1">+AG36*$J$47</f>
        <v>2414.0868916552981</v>
      </c>
      <c r="AI36" s="579">
        <f ca="1">ROUND(+AH36+AE36,5)</f>
        <v>2726956.1832699999</v>
      </c>
    </row>
    <row r="37" spans="1:46" ht="15.75">
      <c r="A37" s="468"/>
      <c r="B37" s="468"/>
      <c r="C37" s="468"/>
      <c r="D37" s="468"/>
      <c r="E37" s="468"/>
      <c r="F37" s="505">
        <f t="shared" si="0"/>
        <v>31</v>
      </c>
      <c r="G37" s="506"/>
      <c r="H37" s="510" t="s">
        <v>1167</v>
      </c>
      <c r="I37" s="509"/>
      <c r="J37" s="545">
        <f ca="1">+S39/100</f>
        <v>2.6904926820876822</v>
      </c>
      <c r="K37" s="545">
        <f ca="1">+J37</f>
        <v>2.6904926820876822</v>
      </c>
      <c r="L37" s="506"/>
      <c r="M37" s="506"/>
      <c r="N37" s="506"/>
      <c r="O37" s="468"/>
      <c r="P37" s="468"/>
      <c r="R37" s="544">
        <v>2</v>
      </c>
      <c r="S37" s="539">
        <f ca="1">AI32/Investment*100</f>
        <v>269.48277186448047</v>
      </c>
      <c r="T37" s="543">
        <f ca="1">EXP(y_inter2-(slope*LN(+S37)))</f>
        <v>6.5673328715794632</v>
      </c>
      <c r="U37" s="537">
        <f ca="1">(+S37*T37/100)/100</f>
        <v>0.17697830659899519</v>
      </c>
      <c r="V37" s="537">
        <f>regDebt_weighted</f>
        <v>3.5860000000000003E-2</v>
      </c>
      <c r="W37" s="537">
        <f ca="1">+U37-V37</f>
        <v>0.14111830659899519</v>
      </c>
      <c r="X37" s="537">
        <f ca="1">+((W37*(1-0.34))-Pfd_weighted)/Equity_percent</f>
        <v>0.25275605335853724</v>
      </c>
      <c r="Y37" s="537">
        <f ca="1">+X37*equityP</f>
        <v>0.15165363201512233</v>
      </c>
      <c r="Z37" s="537">
        <f ca="1">+Y37/(1-taxrate)</f>
        <v>0.1919666228039523</v>
      </c>
      <c r="AA37" s="537">
        <f>debtP*Debt_Rate</f>
        <v>2.0000000000000004E-2</v>
      </c>
      <c r="AB37" s="537">
        <f ca="1">+AA37+Z37</f>
        <v>0.21196662280395229</v>
      </c>
      <c r="AC37" s="537">
        <f ca="1">+AB37/(S37/100)</f>
        <v>7.8656836330356458E-2</v>
      </c>
      <c r="AD37" s="537">
        <f ca="1">1-AC37</f>
        <v>0.92134316366964353</v>
      </c>
      <c r="AE37" s="534">
        <f ca="1">expenses/(AD37)</f>
        <v>2720670.054237626</v>
      </c>
      <c r="AF37" s="536">
        <f ca="1">+AE37-Revenue</f>
        <v>92231.513237625826</v>
      </c>
      <c r="AG37" s="535">
        <f ca="1">+AF37/$J$49</f>
        <v>102514.27344103844</v>
      </c>
      <c r="AH37" s="535">
        <f ca="1">+AG37*$J$47</f>
        <v>2316.8225797674691</v>
      </c>
      <c r="AI37" s="534">
        <f ca="1">ROUND(+AH37+AE37,5)</f>
        <v>2722986.8768199999</v>
      </c>
    </row>
    <row r="38" spans="1:46" ht="15.75">
      <c r="A38" s="468"/>
      <c r="B38" s="468"/>
      <c r="C38" s="468"/>
      <c r="D38" s="468"/>
      <c r="E38" s="468"/>
      <c r="F38" s="505">
        <f t="shared" si="0"/>
        <v>32</v>
      </c>
      <c r="G38" s="506"/>
      <c r="H38" s="510" t="s">
        <v>178</v>
      </c>
      <c r="I38" s="506"/>
      <c r="J38" s="542">
        <f>+C10</f>
        <v>0.21</v>
      </c>
      <c r="K38" s="542">
        <f>+J38</f>
        <v>0.21</v>
      </c>
      <c r="L38" s="506"/>
      <c r="M38" s="506"/>
      <c r="N38" s="506"/>
      <c r="O38" s="468"/>
      <c r="P38" s="468"/>
      <c r="Q38" s="541"/>
      <c r="R38" s="512">
        <v>3</v>
      </c>
      <c r="S38" s="539">
        <f ca="1">AI33/Investment*100</f>
        <v>269.21834003585542</v>
      </c>
      <c r="T38" s="540">
        <f ca="1">EXP(y_inter3-(slope*LN(S38)))</f>
        <v>6.5078489533987725</v>
      </c>
      <c r="U38" s="537">
        <f ca="1">(+S38*T38/100)/100</f>
        <v>0.17520322924380963</v>
      </c>
      <c r="V38" s="537">
        <f>regDebt_weighted</f>
        <v>3.5860000000000003E-2</v>
      </c>
      <c r="W38" s="537">
        <f ca="1">+U38-V38</f>
        <v>0.13934322924380962</v>
      </c>
      <c r="X38" s="537">
        <f ca="1">+((W38*(1-0.34))-Pfd_weighted)/Equity_percent</f>
        <v>0.24935038168870449</v>
      </c>
      <c r="Y38" s="537">
        <f ca="1">+X38*equityP</f>
        <v>0.14961022901322268</v>
      </c>
      <c r="Z38" s="537">
        <f ca="1">+Y38/(1-taxrate)</f>
        <v>0.18938003672559833</v>
      </c>
      <c r="AA38" s="537">
        <f>debtP*Debt_Rate</f>
        <v>2.0000000000000004E-2</v>
      </c>
      <c r="AB38" s="537">
        <f ca="1">+AA38+Z38</f>
        <v>0.20938003672559835</v>
      </c>
      <c r="AC38" s="537">
        <f ca="1">+AB38/(S38/100)</f>
        <v>7.7773318377088424E-2</v>
      </c>
      <c r="AD38" s="537">
        <f ca="1">1-AC38</f>
        <v>0.92222668162291155</v>
      </c>
      <c r="AE38" s="534">
        <f ca="1">expenses/(AD38)</f>
        <v>2718063.5791857359</v>
      </c>
      <c r="AF38" s="536">
        <f ca="1">+AE38-Revenue</f>
        <v>89625.038185735699</v>
      </c>
      <c r="AG38" s="535">
        <f ca="1">+AF38/$J$49</f>
        <v>99617.2061935534</v>
      </c>
      <c r="AH38" s="535">
        <f ca="1">+AG38*$J$47</f>
        <v>2251.3488599743068</v>
      </c>
      <c r="AI38" s="534">
        <f ca="1">ROUND(+AH38+AE38,5)</f>
        <v>2720314.9280500002</v>
      </c>
    </row>
    <row r="39" spans="1:46" ht="15.75">
      <c r="A39" s="468"/>
      <c r="B39" s="468"/>
      <c r="C39" s="468"/>
      <c r="D39" s="468"/>
      <c r="E39" s="468"/>
      <c r="F39" s="505">
        <f t="shared" si="0"/>
        <v>33</v>
      </c>
      <c r="G39" s="506"/>
      <c r="H39" s="506"/>
      <c r="I39" s="506"/>
      <c r="J39" s="506"/>
      <c r="K39" s="506"/>
      <c r="L39" s="506"/>
      <c r="M39" s="506"/>
      <c r="N39" s="506"/>
      <c r="O39" s="468"/>
      <c r="P39" s="468"/>
      <c r="R39" s="518">
        <v>4</v>
      </c>
      <c r="S39" s="539">
        <f ca="1">AI34/Investment*100</f>
        <v>269.04926820876824</v>
      </c>
      <c r="T39" s="538">
        <f ca="1">EXP(y_inter4-(slope*LN(S39)))</f>
        <v>6.4697564590140795</v>
      </c>
      <c r="U39" s="537">
        <f ca="1">(+S39*T39/100)/100</f>
        <v>0.17406832407866898</v>
      </c>
      <c r="V39" s="537">
        <f>regDebt_weighted</f>
        <v>3.5860000000000003E-2</v>
      </c>
      <c r="W39" s="537">
        <f ca="1">+U39-V39</f>
        <v>0.13820832407866898</v>
      </c>
      <c r="X39" s="537">
        <f ca="1">+((W39*(1-0.34))-Pfd_weighted)/Equity_percent</f>
        <v>0.24717294736023698</v>
      </c>
      <c r="Y39" s="537">
        <f ca="1">+X39*equityP</f>
        <v>0.14830376841614218</v>
      </c>
      <c r="Z39" s="537">
        <f ca="1">+Y39/(1-taxrate)</f>
        <v>0.18772628913435718</v>
      </c>
      <c r="AA39" s="537">
        <f>debtP*Debt_Rate</f>
        <v>2.0000000000000004E-2</v>
      </c>
      <c r="AB39" s="537">
        <f ca="1">+AA39+Z39</f>
        <v>0.2077262891343572</v>
      </c>
      <c r="AC39" s="537">
        <f ca="1">+AB39/(S39/100)</f>
        <v>7.72075280179437E-2</v>
      </c>
      <c r="AD39" s="537">
        <f ca="1">1-AC39</f>
        <v>0.92279247198205627</v>
      </c>
      <c r="AE39" s="534">
        <f ca="1">expenses/(AD39)</f>
        <v>2716397.0569552905</v>
      </c>
      <c r="AF39" s="536">
        <f ca="1">+AE39-Revenue</f>
        <v>87958.515955290291</v>
      </c>
      <c r="AG39" s="535">
        <f ca="1">+AF39/$J$49</f>
        <v>97764.88577041027</v>
      </c>
      <c r="AH39" s="535">
        <f ca="1">+AG39*$J$47</f>
        <v>2209.4864184112721</v>
      </c>
      <c r="AI39" s="534">
        <f ca="1">ROUND(+AH39+AE39,5)</f>
        <v>2718606.5433700001</v>
      </c>
    </row>
    <row r="40" spans="1:46" ht="15.75">
      <c r="A40" s="468"/>
      <c r="B40" s="468"/>
      <c r="C40" s="468"/>
      <c r="D40" s="468"/>
      <c r="E40" s="468"/>
      <c r="F40" s="505">
        <f t="shared" si="0"/>
        <v>34</v>
      </c>
      <c r="G40" s="509"/>
      <c r="H40" s="506"/>
      <c r="I40" s="506"/>
      <c r="J40" s="506"/>
      <c r="K40" s="506"/>
      <c r="L40" s="506"/>
      <c r="M40" s="506"/>
      <c r="N40" s="506"/>
      <c r="O40" s="468"/>
      <c r="P40" s="468"/>
      <c r="X40" s="454"/>
      <c r="Y40" s="455"/>
      <c r="Z40" s="453"/>
      <c r="AA40" s="454"/>
      <c r="AC40" s="454"/>
      <c r="AD40" s="454"/>
      <c r="AE40" s="453"/>
      <c r="AF40" s="456"/>
      <c r="AH40" s="453"/>
    </row>
    <row r="41" spans="1:46" ht="15.75">
      <c r="A41" s="468"/>
      <c r="B41" s="468"/>
      <c r="C41" s="468"/>
      <c r="D41" s="468"/>
      <c r="E41" s="468"/>
      <c r="F41" s="505">
        <f t="shared" si="0"/>
        <v>35</v>
      </c>
      <c r="G41" s="506"/>
      <c r="H41" s="533" t="s">
        <v>1192</v>
      </c>
      <c r="I41" s="532"/>
      <c r="J41" s="506"/>
      <c r="K41" s="506"/>
      <c r="L41" s="506"/>
      <c r="M41" s="506"/>
      <c r="N41" s="506"/>
      <c r="O41" s="468"/>
      <c r="P41" s="468"/>
      <c r="R41" s="748" t="s">
        <v>1191</v>
      </c>
      <c r="S41" s="747"/>
      <c r="T41" s="736"/>
      <c r="U41" s="736"/>
      <c r="V41" s="735"/>
      <c r="X41" s="531"/>
      <c r="Y41" s="455"/>
      <c r="Z41" s="453"/>
      <c r="AA41" s="454"/>
      <c r="AC41" s="454"/>
      <c r="AD41" s="454"/>
      <c r="AE41" s="453"/>
      <c r="AF41" s="456"/>
      <c r="AH41" s="453"/>
    </row>
    <row r="42" spans="1:46" ht="15.75">
      <c r="A42" s="468"/>
      <c r="B42" s="468"/>
      <c r="C42" s="468"/>
      <c r="D42" s="468"/>
      <c r="E42" s="468"/>
      <c r="F42" s="505">
        <f t="shared" si="0"/>
        <v>36</v>
      </c>
      <c r="G42" s="506"/>
      <c r="H42" s="506"/>
      <c r="I42" s="506"/>
      <c r="J42" s="530" t="s">
        <v>449</v>
      </c>
      <c r="K42" s="529" t="s">
        <v>1190</v>
      </c>
      <c r="L42" s="506"/>
      <c r="M42" s="506"/>
      <c r="N42" s="506"/>
      <c r="O42" s="468"/>
      <c r="P42" s="468"/>
      <c r="R42" s="528" t="s">
        <v>1189</v>
      </c>
      <c r="S42" s="527"/>
      <c r="T42" s="463"/>
      <c r="U42" s="463"/>
      <c r="V42" s="497"/>
      <c r="X42" s="454"/>
      <c r="Y42" s="455"/>
      <c r="Z42" s="453"/>
      <c r="AA42" s="454"/>
      <c r="AC42" s="454"/>
      <c r="AD42" s="454"/>
      <c r="AE42" s="453"/>
      <c r="AH42" s="453"/>
    </row>
    <row r="43" spans="1:46" ht="15.75">
      <c r="A43" s="468"/>
      <c r="B43" s="468"/>
      <c r="C43" s="468"/>
      <c r="D43" s="468"/>
      <c r="E43" s="468"/>
      <c r="F43" s="505">
        <f t="shared" si="0"/>
        <v>37</v>
      </c>
      <c r="G43" s="506"/>
      <c r="H43" s="510" t="s">
        <v>174</v>
      </c>
      <c r="I43" s="521"/>
      <c r="J43" s="520">
        <f>IF($A$65=TRUE,C11,0)</f>
        <v>1.7500000000000002E-2</v>
      </c>
      <c r="K43" s="519">
        <f ca="1">+J43*($J$7/$J$49)</f>
        <v>1743.1108739427832</v>
      </c>
      <c r="L43" s="506"/>
      <c r="M43" s="506"/>
      <c r="N43" s="506"/>
      <c r="O43" s="468"/>
      <c r="P43" s="468"/>
      <c r="R43" s="512">
        <v>0</v>
      </c>
      <c r="S43" s="525">
        <v>1</v>
      </c>
      <c r="T43" s="463"/>
      <c r="U43" s="526" t="s">
        <v>1168</v>
      </c>
      <c r="V43" s="464">
        <f ca="1">VLOOKUP(R49,R36:AE39,12)</f>
        <v>7.7773318377088424E-2</v>
      </c>
      <c r="AA43" s="454"/>
      <c r="AC43" s="454"/>
      <c r="AH43" s="453"/>
      <c r="AL43" s="454"/>
      <c r="AM43" s="454"/>
      <c r="AN43" s="454"/>
      <c r="AO43" s="454"/>
      <c r="AP43" s="454"/>
      <c r="AQ43" s="454"/>
      <c r="AR43" s="454"/>
      <c r="AS43" s="454"/>
      <c r="AT43" s="454"/>
    </row>
    <row r="44" spans="1:46" ht="15.75">
      <c r="A44" s="468"/>
      <c r="B44" s="468"/>
      <c r="C44" s="468"/>
      <c r="D44" s="468"/>
      <c r="E44" s="468"/>
      <c r="F44" s="505">
        <f t="shared" si="0"/>
        <v>38</v>
      </c>
      <c r="G44" s="506"/>
      <c r="H44" s="510" t="s">
        <v>176</v>
      </c>
      <c r="I44" s="521"/>
      <c r="J44" s="520">
        <f>IF($A$65=TRUE,C12,0)</f>
        <v>5.1000000000000004E-3</v>
      </c>
      <c r="K44" s="519">
        <f ca="1">+J44*($J$7/$J$49)</f>
        <v>507.99231183475399</v>
      </c>
      <c r="L44" s="506"/>
      <c r="M44" s="506"/>
      <c r="N44" s="506"/>
      <c r="O44" s="468"/>
      <c r="P44" s="468"/>
      <c r="R44" s="512">
        <v>50</v>
      </c>
      <c r="S44" s="525">
        <v>2</v>
      </c>
      <c r="T44" s="463"/>
      <c r="U44" s="526" t="s">
        <v>1169</v>
      </c>
      <c r="V44" s="464">
        <f ca="1">ROUND(1-V43,5)</f>
        <v>0.92222999999999999</v>
      </c>
      <c r="Y44" s="522"/>
      <c r="Z44" s="450"/>
      <c r="AA44" s="450"/>
      <c r="AC44" s="454"/>
      <c r="AF44" s="456"/>
      <c r="AH44" s="453"/>
      <c r="AL44" s="454"/>
      <c r="AM44" s="454"/>
      <c r="AN44" s="454"/>
      <c r="AO44" s="454"/>
      <c r="AP44" s="454"/>
      <c r="AQ44" s="454"/>
      <c r="AR44" s="454"/>
      <c r="AS44" s="454"/>
      <c r="AT44" s="454"/>
    </row>
    <row r="45" spans="1:46" ht="15.75">
      <c r="A45" s="468"/>
      <c r="B45" s="468"/>
      <c r="C45" s="468"/>
      <c r="D45" s="468"/>
      <c r="E45" s="468"/>
      <c r="F45" s="505">
        <f t="shared" si="0"/>
        <v>39</v>
      </c>
      <c r="G45" s="506"/>
      <c r="H45" s="510" t="s">
        <v>177</v>
      </c>
      <c r="I45" s="521"/>
      <c r="J45" s="520">
        <f>IF($A$65=TRUE,C13,0)</f>
        <v>0</v>
      </c>
      <c r="K45" s="519">
        <f ca="1">+J45*($J$7/$J$49)</f>
        <v>0</v>
      </c>
      <c r="L45" s="506"/>
      <c r="M45" s="506"/>
      <c r="N45" s="506"/>
      <c r="O45" s="468"/>
      <c r="P45" s="468"/>
      <c r="R45" s="512">
        <v>125</v>
      </c>
      <c r="S45" s="525">
        <v>3</v>
      </c>
      <c r="T45" s="463"/>
      <c r="U45" s="498" t="s">
        <v>1188</v>
      </c>
      <c r="V45" s="524">
        <f ca="1">+M7/Revenue-1</f>
        <v>3.4950926101305679E-2</v>
      </c>
      <c r="W45" s="523"/>
      <c r="X45" s="454"/>
      <c r="Y45" s="522"/>
      <c r="Z45" s="453"/>
      <c r="AA45" s="454"/>
      <c r="AC45" s="454"/>
      <c r="AD45" s="454"/>
      <c r="AE45" s="453"/>
      <c r="AF45" s="456"/>
      <c r="AH45" s="453"/>
      <c r="AL45" s="454"/>
      <c r="AM45" s="454"/>
      <c r="AN45" s="454"/>
      <c r="AO45" s="454"/>
      <c r="AP45" s="454"/>
      <c r="AQ45" s="454"/>
      <c r="AR45" s="454"/>
      <c r="AS45" s="454"/>
      <c r="AT45" s="454"/>
    </row>
    <row r="46" spans="1:46" ht="15.75">
      <c r="A46" s="468"/>
      <c r="B46" s="468"/>
      <c r="C46" s="468"/>
      <c r="D46" s="468"/>
      <c r="E46" s="468"/>
      <c r="F46" s="505">
        <f t="shared" si="0"/>
        <v>40</v>
      </c>
      <c r="G46" s="506"/>
      <c r="H46" s="510" t="s">
        <v>179</v>
      </c>
      <c r="I46" s="521"/>
      <c r="J46" s="520">
        <f>IF($A$65=TRUE,C14,0)</f>
        <v>0</v>
      </c>
      <c r="K46" s="519">
        <f ca="1">+J46*($J$7/$J$49)</f>
        <v>0</v>
      </c>
      <c r="L46" s="506"/>
      <c r="M46" s="506"/>
      <c r="N46" s="506"/>
      <c r="O46" s="468"/>
      <c r="P46" s="468"/>
      <c r="R46" s="518">
        <v>401</v>
      </c>
      <c r="S46" s="517">
        <v>4</v>
      </c>
      <c r="T46" s="516"/>
      <c r="U46" s="516"/>
      <c r="V46" s="515"/>
      <c r="X46" s="454"/>
      <c r="Y46" s="455"/>
      <c r="Z46" s="453"/>
      <c r="AA46" s="454"/>
      <c r="AC46" s="454"/>
      <c r="AD46" s="454"/>
      <c r="AE46" s="453"/>
      <c r="AF46" s="456"/>
      <c r="AH46" s="453"/>
      <c r="AL46" s="454"/>
      <c r="AM46" s="454"/>
      <c r="AN46" s="454"/>
      <c r="AO46" s="454"/>
      <c r="AP46" s="454"/>
      <c r="AQ46" s="454"/>
      <c r="AR46" s="454"/>
      <c r="AS46" s="454"/>
      <c r="AT46" s="454"/>
    </row>
    <row r="47" spans="1:46" ht="16.5" thickBot="1">
      <c r="A47" s="468"/>
      <c r="B47" s="468"/>
      <c r="C47" s="468"/>
      <c r="D47" s="468"/>
      <c r="E47" s="468"/>
      <c r="F47" s="505">
        <f t="shared" si="0"/>
        <v>41</v>
      </c>
      <c r="G47" s="506"/>
      <c r="H47" s="510" t="s">
        <v>181</v>
      </c>
      <c r="I47" s="509"/>
      <c r="J47" s="514">
        <f>SUM(J43:J46)</f>
        <v>2.2600000000000002E-2</v>
      </c>
      <c r="K47" s="513">
        <f ca="1">+K43+K44+K45+K46</f>
        <v>2251.103185777537</v>
      </c>
      <c r="L47" s="506"/>
      <c r="M47" s="506"/>
      <c r="N47" s="506"/>
      <c r="O47" s="468"/>
      <c r="P47" s="468"/>
      <c r="R47" s="512"/>
      <c r="S47" s="511"/>
      <c r="T47" s="463"/>
      <c r="U47" s="463"/>
      <c r="V47" s="463"/>
      <c r="X47" s="454"/>
      <c r="Y47" s="455"/>
      <c r="Z47" s="453"/>
      <c r="AA47" s="454"/>
      <c r="AC47" s="454"/>
      <c r="AD47" s="454"/>
      <c r="AE47" s="453"/>
      <c r="AF47" s="456"/>
      <c r="AH47" s="453"/>
      <c r="AL47" s="454"/>
      <c r="AM47" s="454"/>
      <c r="AN47" s="454"/>
      <c r="AO47" s="454"/>
      <c r="AP47" s="454"/>
      <c r="AQ47" s="454"/>
      <c r="AR47" s="454"/>
      <c r="AS47" s="454"/>
      <c r="AT47" s="454"/>
    </row>
    <row r="48" spans="1:46" ht="16.5" thickTop="1">
      <c r="A48" s="468"/>
      <c r="B48" s="468"/>
      <c r="C48" s="468"/>
      <c r="D48" s="468"/>
      <c r="E48" s="468"/>
      <c r="F48" s="505">
        <f t="shared" si="0"/>
        <v>42</v>
      </c>
      <c r="G48" s="506"/>
      <c r="H48" s="510"/>
      <c r="I48" s="509"/>
      <c r="J48" s="508"/>
      <c r="K48" s="507"/>
      <c r="L48" s="506"/>
      <c r="M48" s="506"/>
      <c r="N48" s="506"/>
      <c r="O48" s="468"/>
      <c r="P48" s="468"/>
      <c r="R48" s="746">
        <f ca="1">VLOOKUP(R49,R36:S39,2)</f>
        <v>269.21834003585542</v>
      </c>
      <c r="S48" s="745" t="s">
        <v>1187</v>
      </c>
      <c r="T48" s="735"/>
      <c r="V48" s="736"/>
      <c r="X48" s="449" t="s">
        <v>146</v>
      </c>
      <c r="AC48" s="454"/>
      <c r="AF48" s="456"/>
      <c r="AH48" s="453"/>
    </row>
    <row r="49" spans="1:46" ht="15.75">
      <c r="A49" s="468"/>
      <c r="B49" s="468"/>
      <c r="C49" s="468"/>
      <c r="D49" s="468"/>
      <c r="E49" s="468"/>
      <c r="F49" s="505">
        <f t="shared" si="0"/>
        <v>43</v>
      </c>
      <c r="G49" s="504"/>
      <c r="H49" s="503" t="s">
        <v>182</v>
      </c>
      <c r="I49" s="501"/>
      <c r="J49" s="502">
        <f ca="1">((K35)-J47)</f>
        <v>0.8996943561295706</v>
      </c>
      <c r="K49" s="501"/>
      <c r="L49" s="501"/>
      <c r="M49" s="501"/>
      <c r="N49" s="501"/>
      <c r="O49" s="468"/>
      <c r="P49" s="468"/>
      <c r="R49" s="499">
        <f ca="1">VLOOKUP(S36,R43:S46,2)</f>
        <v>3</v>
      </c>
      <c r="S49" s="500" t="s">
        <v>1186</v>
      </c>
      <c r="T49" s="497"/>
      <c r="X49" s="449" t="s">
        <v>149</v>
      </c>
      <c r="AA49" s="450"/>
      <c r="AC49" s="454"/>
      <c r="AH49" s="453"/>
    </row>
    <row r="50" spans="1:46">
      <c r="A50" s="468"/>
      <c r="B50" s="468"/>
      <c r="C50" s="468"/>
      <c r="D50" s="468"/>
      <c r="E50" s="468"/>
      <c r="F50" s="468"/>
      <c r="G50" s="468"/>
      <c r="H50" s="468"/>
      <c r="I50" s="468"/>
      <c r="J50" s="468"/>
      <c r="K50" s="496"/>
      <c r="L50" s="468"/>
      <c r="M50" s="468"/>
      <c r="N50" s="495"/>
      <c r="O50" s="468"/>
      <c r="P50" s="468"/>
      <c r="R50" s="499"/>
      <c r="S50" s="498"/>
      <c r="T50" s="497"/>
      <c r="X50" s="449" t="s">
        <v>155</v>
      </c>
      <c r="AA50" s="454"/>
      <c r="AC50" s="454"/>
      <c r="AD50" s="454"/>
      <c r="AE50" s="453"/>
      <c r="AH50" s="453"/>
    </row>
    <row r="51" spans="1:46">
      <c r="A51" s="468"/>
      <c r="B51" s="468"/>
      <c r="C51" s="468"/>
      <c r="D51" s="468"/>
      <c r="E51" s="468"/>
      <c r="F51" s="468"/>
      <c r="G51" s="468"/>
      <c r="H51" s="468"/>
      <c r="I51" s="468"/>
      <c r="J51" s="468"/>
      <c r="K51" s="496"/>
      <c r="L51" s="468"/>
      <c r="M51" s="468"/>
      <c r="N51" s="495"/>
      <c r="O51" s="468"/>
      <c r="P51" s="468"/>
      <c r="R51" s="494">
        <f ca="1">+V44</f>
        <v>0.92222999999999999</v>
      </c>
      <c r="S51" s="493" t="s">
        <v>1169</v>
      </c>
      <c r="T51" s="492"/>
      <c r="X51" s="449" t="s">
        <v>158</v>
      </c>
      <c r="AA51" s="454"/>
      <c r="AC51" s="454"/>
      <c r="AD51" s="454"/>
      <c r="AE51" s="453"/>
      <c r="AF51" s="454"/>
      <c r="AH51" s="453"/>
      <c r="AL51" s="454"/>
      <c r="AM51" s="454"/>
      <c r="AN51" s="454"/>
      <c r="AO51" s="454"/>
      <c r="AP51" s="454"/>
      <c r="AQ51" s="454"/>
      <c r="AR51" s="454"/>
      <c r="AS51" s="454"/>
      <c r="AT51" s="454"/>
    </row>
    <row r="52" spans="1:46">
      <c r="A52" s="468"/>
      <c r="B52" s="468"/>
      <c r="C52" s="468"/>
      <c r="D52" s="468"/>
      <c r="E52" s="468"/>
      <c r="F52" s="468"/>
      <c r="G52" s="468"/>
      <c r="H52" s="468"/>
      <c r="I52" s="468"/>
      <c r="J52" s="468"/>
      <c r="K52" s="468"/>
      <c r="L52" s="468"/>
      <c r="M52" s="468"/>
      <c r="N52" s="468"/>
      <c r="O52" s="468"/>
      <c r="P52" s="468"/>
      <c r="Z52" s="453"/>
      <c r="AA52" s="454"/>
      <c r="AC52" s="454"/>
      <c r="AD52" s="454"/>
      <c r="AE52" s="453"/>
      <c r="AF52" s="456"/>
      <c r="AH52" s="453"/>
      <c r="AL52" s="454"/>
      <c r="AM52" s="454"/>
      <c r="AN52" s="454"/>
      <c r="AO52" s="454"/>
      <c r="AP52" s="454"/>
      <c r="AQ52" s="454"/>
      <c r="AR52" s="454"/>
      <c r="AS52" s="454"/>
      <c r="AT52" s="454"/>
    </row>
    <row r="53" spans="1:46">
      <c r="A53" s="468"/>
      <c r="B53" s="468"/>
      <c r="C53" s="468"/>
      <c r="D53" s="468"/>
      <c r="E53" s="468"/>
      <c r="F53" s="468"/>
      <c r="G53" s="468"/>
      <c r="H53" s="468"/>
      <c r="I53" s="468"/>
      <c r="J53" s="471"/>
      <c r="K53" s="471"/>
      <c r="L53" s="471"/>
      <c r="M53" s="471"/>
      <c r="N53" s="468"/>
      <c r="O53" s="468"/>
      <c r="P53" s="468"/>
      <c r="R53" s="449"/>
      <c r="Z53" s="453"/>
      <c r="AA53" s="454"/>
      <c r="AC53" s="454"/>
      <c r="AD53" s="454"/>
      <c r="AE53" s="453"/>
      <c r="AF53" s="456"/>
      <c r="AH53" s="453"/>
      <c r="AL53" s="454"/>
      <c r="AM53" s="454"/>
      <c r="AN53" s="454"/>
      <c r="AO53" s="454"/>
      <c r="AP53" s="454"/>
      <c r="AQ53" s="454"/>
      <c r="AR53" s="454"/>
      <c r="AS53" s="454"/>
      <c r="AT53" s="454"/>
    </row>
    <row r="54" spans="1:46" ht="15.75">
      <c r="A54" s="468"/>
      <c r="B54" s="468"/>
      <c r="C54" s="468"/>
      <c r="D54" s="468"/>
      <c r="E54" s="468"/>
      <c r="F54" s="468"/>
      <c r="G54" s="468"/>
      <c r="H54" s="468"/>
      <c r="I54" s="468"/>
      <c r="J54" s="468"/>
      <c r="K54" s="471"/>
      <c r="L54" s="471"/>
      <c r="M54" s="471"/>
      <c r="N54" s="468"/>
      <c r="O54" s="468"/>
      <c r="P54" s="468"/>
      <c r="R54" s="449"/>
      <c r="S54" s="449" t="s">
        <v>1185</v>
      </c>
      <c r="T54" s="454"/>
      <c r="U54" s="491"/>
      <c r="W54" s="490" t="s">
        <v>1184</v>
      </c>
      <c r="X54" s="489"/>
      <c r="Y54" s="489"/>
      <c r="Z54" s="489"/>
      <c r="AC54" s="454"/>
      <c r="AF54" s="456"/>
      <c r="AH54" s="453"/>
      <c r="AL54" s="454"/>
      <c r="AM54" s="454"/>
      <c r="AN54" s="454"/>
      <c r="AO54" s="454"/>
      <c r="AP54" s="454"/>
      <c r="AQ54" s="454"/>
      <c r="AR54" s="454"/>
      <c r="AS54" s="454"/>
      <c r="AT54" s="454"/>
    </row>
    <row r="55" spans="1:46">
      <c r="A55" s="468"/>
      <c r="B55" s="468"/>
      <c r="C55" s="468"/>
      <c r="D55" s="468"/>
      <c r="E55" s="468"/>
      <c r="F55" s="468"/>
      <c r="G55" s="468"/>
      <c r="H55" s="468"/>
      <c r="I55" s="468"/>
      <c r="J55" s="468"/>
      <c r="K55" s="468"/>
      <c r="L55" s="480"/>
      <c r="M55" s="480"/>
      <c r="N55" s="468"/>
      <c r="O55" s="468"/>
      <c r="P55" s="468"/>
      <c r="R55" s="738"/>
      <c r="S55" s="744" t="s">
        <v>451</v>
      </c>
      <c r="T55" s="744" t="s">
        <v>573</v>
      </c>
      <c r="U55" s="743" t="s">
        <v>1183</v>
      </c>
      <c r="W55" s="742" t="s">
        <v>1182</v>
      </c>
      <c r="X55" s="741">
        <v>5.7225999999999999</v>
      </c>
      <c r="Y55" s="740" t="s">
        <v>1181</v>
      </c>
      <c r="Z55" s="739">
        <v>5.6985000000000001</v>
      </c>
      <c r="AA55" s="450"/>
      <c r="AC55" s="454"/>
      <c r="AH55" s="453"/>
    </row>
    <row r="56" spans="1:46">
      <c r="A56" s="468"/>
      <c r="B56" s="468"/>
      <c r="C56" s="468"/>
      <c r="D56" s="468"/>
      <c r="E56" s="468"/>
      <c r="F56" s="468"/>
      <c r="G56" s="468"/>
      <c r="H56" s="468"/>
      <c r="I56" s="468"/>
      <c r="J56" s="480"/>
      <c r="K56" s="468"/>
      <c r="L56" s="480"/>
      <c r="M56" s="480"/>
      <c r="N56" s="468"/>
      <c r="O56" s="468"/>
      <c r="P56" s="468"/>
      <c r="R56" s="451" t="s">
        <v>1180</v>
      </c>
      <c r="S56" s="484">
        <v>0.56200000000000006</v>
      </c>
      <c r="T56" s="484">
        <v>6.3799999999999996E-2</v>
      </c>
      <c r="U56" s="464">
        <f>ROUND(+S56*T56,5)</f>
        <v>3.5860000000000003E-2</v>
      </c>
      <c r="W56" s="488" t="s">
        <v>1179</v>
      </c>
      <c r="X56" s="487">
        <v>5.7082699999999997</v>
      </c>
      <c r="Y56" s="486" t="s">
        <v>1178</v>
      </c>
      <c r="Z56" s="485">
        <v>5.6921999999999997</v>
      </c>
      <c r="AA56" s="454"/>
      <c r="AC56" s="454"/>
      <c r="AD56" s="454"/>
      <c r="AE56" s="453"/>
      <c r="AH56" s="453"/>
    </row>
    <row r="57" spans="1:46">
      <c r="A57" s="468"/>
      <c r="B57" s="468"/>
      <c r="C57" s="468"/>
      <c r="D57" s="468"/>
      <c r="E57" s="471"/>
      <c r="F57" s="468"/>
      <c r="G57" s="468"/>
      <c r="H57" s="468"/>
      <c r="I57" s="468"/>
      <c r="J57" s="480"/>
      <c r="K57" s="468"/>
      <c r="L57" s="480"/>
      <c r="M57" s="480"/>
      <c r="N57" s="468"/>
      <c r="O57" s="468"/>
      <c r="P57" s="468"/>
      <c r="R57" s="451" t="s">
        <v>1177</v>
      </c>
      <c r="S57" s="484">
        <v>9.4E-2</v>
      </c>
      <c r="T57" s="484">
        <v>6.59E-2</v>
      </c>
      <c r="U57" s="464">
        <f>ROUND(+S57*T57,5)</f>
        <v>6.1900000000000002E-3</v>
      </c>
      <c r="W57" s="451"/>
      <c r="X57" s="463"/>
      <c r="Y57" s="483"/>
      <c r="Z57" s="482"/>
      <c r="AA57" s="454"/>
      <c r="AC57" s="454"/>
      <c r="AD57" s="454"/>
      <c r="AE57" s="453"/>
      <c r="AF57" s="456"/>
      <c r="AH57" s="453"/>
      <c r="AL57" s="454"/>
    </row>
    <row r="58" spans="1:46" ht="15.75">
      <c r="A58" s="468"/>
      <c r="B58" s="468"/>
      <c r="C58" s="468"/>
      <c r="D58" s="468"/>
      <c r="E58" s="471"/>
      <c r="F58" s="471"/>
      <c r="G58" s="471"/>
      <c r="H58" s="481"/>
      <c r="I58" s="471"/>
      <c r="J58" s="480"/>
      <c r="K58" s="468"/>
      <c r="L58" s="468"/>
      <c r="M58" s="468"/>
      <c r="N58" s="468"/>
      <c r="O58" s="468"/>
      <c r="P58" s="468"/>
      <c r="R58" s="451" t="s">
        <v>1176</v>
      </c>
      <c r="S58" s="475">
        <v>0.34399999999999997</v>
      </c>
      <c r="T58" s="462"/>
      <c r="U58" s="479"/>
      <c r="W58" s="460"/>
      <c r="X58" s="478" t="s">
        <v>1175</v>
      </c>
      <c r="Y58" s="477">
        <v>0.68367</v>
      </c>
      <c r="Z58" s="476"/>
      <c r="AA58" s="454"/>
      <c r="AC58" s="454"/>
      <c r="AD58" s="454"/>
      <c r="AE58" s="453"/>
      <c r="AF58" s="456"/>
      <c r="AH58" s="453"/>
    </row>
    <row r="59" spans="1:46" ht="15.75">
      <c r="A59" s="468"/>
      <c r="B59" s="468"/>
      <c r="C59" s="468"/>
      <c r="D59" s="468"/>
      <c r="E59" s="468"/>
      <c r="F59" s="468"/>
      <c r="G59" s="468"/>
      <c r="H59" s="468"/>
      <c r="I59" s="468"/>
      <c r="J59" s="468"/>
      <c r="K59" s="468"/>
      <c r="L59" s="468"/>
      <c r="M59" s="468"/>
      <c r="N59" s="468"/>
      <c r="O59" s="468"/>
      <c r="P59" s="468"/>
      <c r="R59" s="460"/>
      <c r="S59" s="475">
        <f>SUM(S56:S58)</f>
        <v>1</v>
      </c>
      <c r="T59" s="474"/>
      <c r="U59" s="473"/>
      <c r="X59" s="454"/>
      <c r="Y59" s="455"/>
      <c r="Z59" s="453"/>
      <c r="AA59" s="454"/>
      <c r="AC59" s="454"/>
      <c r="AD59" s="454"/>
      <c r="AE59" s="453"/>
      <c r="AF59" s="456"/>
      <c r="AH59" s="453"/>
    </row>
    <row r="60" spans="1:46">
      <c r="A60" s="468"/>
      <c r="B60" s="468"/>
      <c r="C60" s="468"/>
      <c r="D60" s="468"/>
      <c r="E60" s="468"/>
      <c r="F60" s="468"/>
      <c r="G60" s="468"/>
      <c r="H60" s="468"/>
      <c r="I60" s="468"/>
      <c r="J60" s="468"/>
      <c r="K60" s="468"/>
      <c r="L60" s="468"/>
      <c r="M60" s="468"/>
      <c r="N60" s="468"/>
      <c r="O60" s="468"/>
      <c r="P60" s="468"/>
      <c r="X60" s="472"/>
      <c r="AC60" s="454"/>
      <c r="AF60" s="456"/>
      <c r="AH60" s="453"/>
      <c r="AL60" s="456"/>
      <c r="AM60" s="456"/>
      <c r="AN60" s="456"/>
      <c r="AO60" s="456"/>
      <c r="AP60" s="456"/>
      <c r="AQ60" s="456"/>
      <c r="AR60" s="456"/>
      <c r="AS60" s="456"/>
      <c r="AT60" s="456"/>
    </row>
    <row r="61" spans="1:46">
      <c r="A61" s="468"/>
      <c r="B61" s="468"/>
      <c r="C61" s="468"/>
      <c r="D61" s="468"/>
      <c r="E61" s="471"/>
      <c r="F61" s="468"/>
      <c r="G61" s="468"/>
      <c r="H61" s="468"/>
      <c r="I61" s="468"/>
      <c r="J61" s="468"/>
      <c r="K61" s="468"/>
      <c r="L61" s="468"/>
      <c r="M61" s="468"/>
      <c r="N61" s="468"/>
      <c r="O61" s="468"/>
      <c r="P61" s="468"/>
      <c r="W61" s="738" t="s">
        <v>1174</v>
      </c>
      <c r="X61" s="737"/>
      <c r="Y61" s="736" t="s">
        <v>1173</v>
      </c>
      <c r="Z61" s="735" t="s">
        <v>1172</v>
      </c>
      <c r="AC61" s="454"/>
      <c r="AH61" s="453"/>
      <c r="AL61" s="456"/>
      <c r="AM61" s="456"/>
      <c r="AN61" s="456"/>
      <c r="AO61" s="456"/>
      <c r="AP61" s="456"/>
      <c r="AQ61" s="456"/>
      <c r="AR61" s="456"/>
      <c r="AS61" s="456"/>
      <c r="AT61" s="456"/>
    </row>
    <row r="62" spans="1:46">
      <c r="A62" s="468"/>
      <c r="B62" s="468"/>
      <c r="C62" s="468"/>
      <c r="D62" s="468"/>
      <c r="E62" s="468"/>
      <c r="F62" s="471"/>
      <c r="G62" s="471"/>
      <c r="H62" s="471"/>
      <c r="I62" s="471"/>
      <c r="J62" s="471"/>
      <c r="K62" s="471"/>
      <c r="L62" s="471"/>
      <c r="M62" s="471"/>
      <c r="N62" s="471"/>
      <c r="O62" s="468"/>
      <c r="P62" s="468"/>
      <c r="W62" s="470"/>
      <c r="X62" s="467"/>
      <c r="Y62" s="467"/>
      <c r="Z62" s="469"/>
      <c r="AC62" s="454"/>
      <c r="AD62" s="454"/>
      <c r="AE62" s="453"/>
      <c r="AH62" s="453"/>
      <c r="AL62" s="456"/>
      <c r="AM62" s="456"/>
      <c r="AN62" s="456"/>
      <c r="AO62" s="456"/>
      <c r="AP62" s="456"/>
      <c r="AQ62" s="456"/>
      <c r="AR62" s="456"/>
      <c r="AS62" s="456"/>
      <c r="AT62" s="456"/>
    </row>
    <row r="63" spans="1:46">
      <c r="A63" s="468"/>
      <c r="B63" s="468"/>
      <c r="C63" s="468"/>
      <c r="D63" s="468"/>
      <c r="E63" s="468"/>
      <c r="F63" s="468"/>
      <c r="G63" s="468"/>
      <c r="H63" s="468"/>
      <c r="I63" s="468"/>
      <c r="J63" s="468"/>
      <c r="K63" s="468"/>
      <c r="L63" s="468"/>
      <c r="M63" s="468"/>
      <c r="N63" s="468"/>
      <c r="O63" s="468"/>
      <c r="P63" s="468"/>
      <c r="W63" s="451" t="s">
        <v>1171</v>
      </c>
      <c r="X63" s="467"/>
      <c r="Y63" s="464">
        <f t="shared" ref="Y63:Z68" ca="1" si="1">+J33</f>
        <v>0.20919707394945056</v>
      </c>
      <c r="Z63" s="464">
        <f t="shared" ca="1" si="1"/>
        <v>0.16946568842006596</v>
      </c>
      <c r="AC63" s="454"/>
      <c r="AD63" s="454"/>
      <c r="AE63" s="453"/>
      <c r="AF63" s="456"/>
      <c r="AH63" s="453"/>
      <c r="AL63" s="456"/>
      <c r="AM63" s="456"/>
      <c r="AN63" s="456"/>
      <c r="AO63" s="456"/>
      <c r="AP63" s="456"/>
      <c r="AQ63" s="456"/>
      <c r="AR63" s="456"/>
      <c r="AS63" s="456"/>
      <c r="AT63" s="456"/>
    </row>
    <row r="64" spans="1:46">
      <c r="A64" s="468"/>
      <c r="B64" s="468"/>
      <c r="C64" s="468"/>
      <c r="D64" s="468"/>
      <c r="E64" s="468"/>
      <c r="F64" s="468"/>
      <c r="G64" s="468"/>
      <c r="H64" s="468"/>
      <c r="I64" s="468"/>
      <c r="J64" s="468"/>
      <c r="K64" s="468"/>
      <c r="L64" s="468"/>
      <c r="M64" s="468"/>
      <c r="N64" s="468"/>
      <c r="O64" s="468"/>
      <c r="P64" s="468"/>
      <c r="W64" s="451" t="s">
        <v>1170</v>
      </c>
      <c r="X64" s="467"/>
      <c r="Y64" s="464">
        <f t="shared" ca="1" si="1"/>
        <v>0.31532845658241765</v>
      </c>
      <c r="Z64" s="464">
        <f t="shared" ca="1" si="1"/>
        <v>0.24910948070010994</v>
      </c>
      <c r="AC64" s="454"/>
      <c r="AD64" s="454"/>
      <c r="AE64" s="453"/>
      <c r="AF64" s="456"/>
      <c r="AH64" s="453"/>
    </row>
    <row r="65" spans="1:38">
      <c r="A65" s="449" t="b">
        <v>1</v>
      </c>
      <c r="F65" s="468"/>
      <c r="G65" s="468"/>
      <c r="H65" s="468"/>
      <c r="I65" s="468"/>
      <c r="J65" s="468"/>
      <c r="K65" s="468"/>
      <c r="L65" s="468"/>
      <c r="M65" s="468"/>
      <c r="N65" s="468"/>
      <c r="W65" s="451" t="s">
        <v>1169</v>
      </c>
      <c r="X65" s="467"/>
      <c r="Y65" s="464">
        <f t="shared" ca="1" si="1"/>
        <v>0.92223000000000011</v>
      </c>
      <c r="Z65" s="464">
        <f t="shared" ca="1" si="1"/>
        <v>0.92229435612957056</v>
      </c>
      <c r="AC65" s="454"/>
      <c r="AD65" s="454"/>
      <c r="AE65" s="453"/>
      <c r="AF65" s="456"/>
      <c r="AH65" s="453"/>
    </row>
    <row r="66" spans="1:38">
      <c r="H66" s="456"/>
      <c r="I66" s="456"/>
      <c r="J66" s="456"/>
      <c r="K66" s="456"/>
      <c r="L66" s="456"/>
      <c r="M66" s="456"/>
      <c r="N66" s="456"/>
      <c r="O66" s="456"/>
      <c r="W66" s="451" t="s">
        <v>1168</v>
      </c>
      <c r="X66" s="467"/>
      <c r="Y66" s="464">
        <f t="shared" ca="1" si="1"/>
        <v>7.776999999999995E-2</v>
      </c>
      <c r="Z66" s="464">
        <f t="shared" ca="1" si="1"/>
        <v>7.776999999999995E-2</v>
      </c>
      <c r="AC66" s="454"/>
      <c r="AF66" s="456"/>
      <c r="AH66" s="453"/>
      <c r="AL66" s="456"/>
    </row>
    <row r="67" spans="1:38">
      <c r="H67" s="456"/>
      <c r="I67" s="456"/>
      <c r="J67" s="456"/>
      <c r="K67" s="456"/>
      <c r="L67" s="456"/>
      <c r="M67" s="456"/>
      <c r="N67" s="456"/>
      <c r="O67" s="456"/>
      <c r="W67" s="451" t="s">
        <v>1167</v>
      </c>
      <c r="X67" s="466"/>
      <c r="Y67" s="464">
        <f t="shared" ca="1" si="1"/>
        <v>2.6904926820876822</v>
      </c>
      <c r="Z67" s="464">
        <f t="shared" ca="1" si="1"/>
        <v>2.6904926820876822</v>
      </c>
      <c r="AC67" s="454"/>
      <c r="AH67" s="453"/>
    </row>
    <row r="68" spans="1:38">
      <c r="O68" s="456"/>
      <c r="W68" s="451" t="s">
        <v>178</v>
      </c>
      <c r="X68" s="465"/>
      <c r="Y68" s="464">
        <f t="shared" si="1"/>
        <v>0.21</v>
      </c>
      <c r="Z68" s="464">
        <f t="shared" si="1"/>
        <v>0.21</v>
      </c>
      <c r="AC68" s="454"/>
      <c r="AD68" s="454"/>
      <c r="AE68" s="453"/>
      <c r="AH68" s="453"/>
    </row>
    <row r="69" spans="1:38" ht="15.75">
      <c r="O69" s="456"/>
      <c r="W69" s="451"/>
      <c r="X69" s="463"/>
      <c r="Y69" s="462"/>
      <c r="Z69" s="461"/>
      <c r="AC69" s="454"/>
      <c r="AD69" s="454"/>
      <c r="AE69" s="453"/>
      <c r="AF69" s="456"/>
      <c r="AH69" s="453"/>
    </row>
    <row r="70" spans="1:38">
      <c r="O70" s="456"/>
      <c r="W70" s="460"/>
      <c r="X70" s="459"/>
      <c r="Y70" s="458"/>
      <c r="Z70" s="457"/>
      <c r="AA70" s="454"/>
      <c r="AC70" s="454"/>
      <c r="AD70" s="454"/>
      <c r="AE70" s="453"/>
      <c r="AF70" s="456"/>
      <c r="AH70" s="453"/>
    </row>
    <row r="71" spans="1:38">
      <c r="X71" s="454"/>
      <c r="Y71" s="455"/>
      <c r="Z71" s="453"/>
      <c r="AA71" s="454"/>
      <c r="AC71" s="454"/>
      <c r="AD71" s="454"/>
      <c r="AE71" s="453"/>
      <c r="AF71" s="456"/>
      <c r="AH71" s="453"/>
    </row>
    <row r="72" spans="1:38">
      <c r="AC72" s="454"/>
      <c r="AF72" s="456"/>
      <c r="AH72" s="453"/>
    </row>
    <row r="73" spans="1:38">
      <c r="Y73" s="450"/>
      <c r="Z73" s="450"/>
      <c r="AA73" s="450"/>
      <c r="AC73" s="454"/>
      <c r="AH73" s="453"/>
    </row>
    <row r="74" spans="1:38">
      <c r="X74" s="454"/>
      <c r="Y74" s="455"/>
      <c r="Z74" s="453"/>
      <c r="AA74" s="454"/>
      <c r="AC74" s="454"/>
      <c r="AD74" s="454"/>
      <c r="AE74" s="453"/>
      <c r="AH74" s="453"/>
    </row>
    <row r="75" spans="1:38">
      <c r="X75" s="454"/>
      <c r="Y75" s="455"/>
      <c r="Z75" s="453"/>
      <c r="AA75" s="454"/>
      <c r="AC75" s="454"/>
      <c r="AD75" s="454"/>
      <c r="AE75" s="453"/>
      <c r="AF75" s="456"/>
      <c r="AH75" s="453"/>
    </row>
    <row r="76" spans="1:38">
      <c r="X76" s="454"/>
      <c r="Y76" s="455"/>
      <c r="Z76" s="453"/>
      <c r="AA76" s="454"/>
      <c r="AC76" s="454"/>
      <c r="AD76" s="454"/>
      <c r="AE76" s="453"/>
      <c r="AF76" s="456"/>
      <c r="AH76" s="453"/>
    </row>
    <row r="77" spans="1:38">
      <c r="X77" s="454"/>
      <c r="Y77" s="455"/>
      <c r="Z77" s="453"/>
      <c r="AA77" s="454"/>
      <c r="AC77" s="454"/>
      <c r="AD77" s="454"/>
      <c r="AE77" s="453"/>
      <c r="AF77" s="456"/>
      <c r="AH77" s="453"/>
    </row>
    <row r="78" spans="1:38">
      <c r="AC78" s="454"/>
      <c r="AF78" s="456"/>
      <c r="AH78" s="453"/>
    </row>
    <row r="80" spans="1:38">
      <c r="X80" s="454"/>
      <c r="Y80" s="455"/>
      <c r="Z80" s="453"/>
      <c r="AA80" s="454"/>
      <c r="AD80" s="454"/>
      <c r="AE80" s="453"/>
    </row>
    <row r="81" spans="24:32">
      <c r="X81" s="454"/>
      <c r="Y81" s="455"/>
      <c r="Z81" s="453"/>
      <c r="AA81" s="454"/>
      <c r="AD81" s="454"/>
      <c r="AE81" s="453"/>
      <c r="AF81" s="456"/>
    </row>
    <row r="82" spans="24:32">
      <c r="X82" s="454"/>
      <c r="Y82" s="455"/>
      <c r="Z82" s="453"/>
      <c r="AA82" s="454"/>
      <c r="AD82" s="454"/>
      <c r="AE82" s="453"/>
      <c r="AF82" s="456"/>
    </row>
    <row r="83" spans="24:32">
      <c r="X83" s="454"/>
      <c r="Y83" s="455"/>
      <c r="Z83" s="453"/>
      <c r="AA83" s="454"/>
      <c r="AD83" s="454"/>
      <c r="AE83" s="453"/>
      <c r="AF83" s="456"/>
    </row>
    <row r="84" spans="24:32">
      <c r="AF84" s="456"/>
    </row>
    <row r="86" spans="24:32">
      <c r="X86" s="454"/>
      <c r="Y86" s="455"/>
      <c r="Z86" s="453"/>
      <c r="AA86" s="454"/>
      <c r="AD86" s="454"/>
      <c r="AE86" s="453"/>
    </row>
    <row r="87" spans="24:32">
      <c r="X87" s="454"/>
      <c r="Y87" s="455"/>
      <c r="Z87" s="453"/>
      <c r="AA87" s="454"/>
      <c r="AD87" s="454"/>
      <c r="AE87" s="453"/>
      <c r="AF87" s="456"/>
    </row>
    <row r="88" spans="24:32">
      <c r="X88" s="454"/>
      <c r="Y88" s="455"/>
      <c r="Z88" s="453"/>
      <c r="AA88" s="454"/>
      <c r="AD88" s="454"/>
      <c r="AE88" s="453"/>
      <c r="AF88" s="456"/>
    </row>
    <row r="89" spans="24:32">
      <c r="X89" s="454"/>
      <c r="Y89" s="455"/>
      <c r="Z89" s="453"/>
      <c r="AA89" s="454"/>
      <c r="AD89" s="454"/>
      <c r="AE89" s="453"/>
      <c r="AF89" s="456"/>
    </row>
    <row r="90" spans="24:32">
      <c r="AF90" s="456"/>
    </row>
    <row r="92" spans="24:32">
      <c r="X92" s="454"/>
      <c r="Y92" s="455"/>
      <c r="Z92" s="453"/>
      <c r="AA92" s="454"/>
      <c r="AD92" s="454"/>
      <c r="AE92" s="453"/>
    </row>
    <row r="93" spans="24:32">
      <c r="X93" s="454"/>
      <c r="Y93" s="455"/>
      <c r="Z93" s="453"/>
      <c r="AA93" s="454"/>
      <c r="AD93" s="454"/>
      <c r="AE93" s="453"/>
      <c r="AF93" s="456"/>
    </row>
    <row r="94" spans="24:32">
      <c r="X94" s="454"/>
      <c r="Y94" s="455"/>
      <c r="Z94" s="453"/>
      <c r="AA94" s="454"/>
      <c r="AD94" s="454"/>
      <c r="AE94" s="453"/>
      <c r="AF94" s="456"/>
    </row>
    <row r="95" spans="24:32">
      <c r="X95" s="454"/>
      <c r="Y95" s="455"/>
      <c r="Z95" s="453"/>
      <c r="AA95" s="454"/>
      <c r="AD95" s="454"/>
      <c r="AE95" s="453"/>
      <c r="AF95" s="456"/>
    </row>
    <row r="96" spans="24:32">
      <c r="AF96" s="456"/>
    </row>
    <row r="98" spans="24:32">
      <c r="X98" s="454"/>
      <c r="Y98" s="455"/>
      <c r="Z98" s="453"/>
      <c r="AA98" s="454"/>
      <c r="AD98" s="454"/>
      <c r="AE98" s="453"/>
    </row>
    <row r="99" spans="24:32">
      <c r="X99" s="454"/>
      <c r="Y99" s="455"/>
      <c r="Z99" s="453"/>
      <c r="AA99" s="454"/>
      <c r="AD99" s="454"/>
      <c r="AE99" s="453"/>
      <c r="AF99" s="456"/>
    </row>
    <row r="100" spans="24:32">
      <c r="X100" s="454"/>
      <c r="Y100" s="455"/>
      <c r="Z100" s="453"/>
      <c r="AA100" s="454"/>
      <c r="AD100" s="454"/>
      <c r="AE100" s="453"/>
      <c r="AF100" s="456"/>
    </row>
    <row r="101" spans="24:32">
      <c r="X101" s="454"/>
      <c r="Y101" s="455"/>
      <c r="Z101" s="453"/>
      <c r="AA101" s="454"/>
      <c r="AD101" s="454"/>
      <c r="AE101" s="453"/>
      <c r="AF101" s="456"/>
    </row>
    <row r="102" spans="24:32">
      <c r="AF102" s="456"/>
    </row>
    <row r="104" spans="24:32">
      <c r="X104" s="454"/>
      <c r="Y104" s="455"/>
      <c r="Z104" s="453"/>
      <c r="AA104" s="454"/>
      <c r="AD104" s="454"/>
      <c r="AE104" s="453"/>
    </row>
    <row r="105" spans="24:32">
      <c r="X105" s="454"/>
      <c r="Y105" s="455"/>
      <c r="Z105" s="453"/>
      <c r="AA105" s="454"/>
      <c r="AD105" s="454"/>
      <c r="AE105" s="453"/>
      <c r="AF105" s="456"/>
    </row>
    <row r="106" spans="24:32">
      <c r="X106" s="454"/>
      <c r="Y106" s="455"/>
      <c r="Z106" s="453"/>
      <c r="AA106" s="454"/>
      <c r="AD106" s="454"/>
      <c r="AE106" s="453"/>
      <c r="AF106" s="456"/>
    </row>
    <row r="107" spans="24:32">
      <c r="X107" s="454"/>
      <c r="Y107" s="455"/>
      <c r="Z107" s="453"/>
      <c r="AA107" s="454"/>
      <c r="AD107" s="454"/>
      <c r="AE107" s="453"/>
      <c r="AF107" s="456"/>
    </row>
    <row r="108" spans="24:32">
      <c r="AF108" s="456"/>
    </row>
    <row r="110" spans="24:32">
      <c r="X110" s="454"/>
      <c r="Y110" s="455"/>
      <c r="Z110" s="453"/>
      <c r="AA110" s="454"/>
      <c r="AD110" s="454"/>
      <c r="AE110" s="453"/>
    </row>
    <row r="111" spans="24:32">
      <c r="X111" s="454"/>
      <c r="Y111" s="455"/>
      <c r="Z111" s="453"/>
      <c r="AA111" s="454"/>
      <c r="AD111" s="454"/>
      <c r="AE111" s="453"/>
    </row>
    <row r="112" spans="24:32">
      <c r="X112" s="454"/>
      <c r="Y112" s="455"/>
      <c r="Z112" s="453"/>
      <c r="AA112" s="454"/>
      <c r="AD112" s="454"/>
      <c r="AE112" s="453"/>
    </row>
    <row r="113" spans="24:31">
      <c r="X113" s="454"/>
      <c r="Y113" s="455"/>
      <c r="Z113" s="453"/>
      <c r="AA113" s="454"/>
      <c r="AD113" s="454"/>
      <c r="AE113" s="453"/>
    </row>
  </sheetData>
  <mergeCells count="6">
    <mergeCell ref="AF2:AI2"/>
    <mergeCell ref="B2:C2"/>
    <mergeCell ref="B17:C17"/>
    <mergeCell ref="B18:C18"/>
    <mergeCell ref="B15:C15"/>
    <mergeCell ref="C16:D16"/>
  </mergeCells>
  <pageMargins left="0.25" right="0.25" top="0.3" bottom="0.44" header="0.23" footer="0.21"/>
  <pageSetup scale="9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19137" r:id="rId4" name="CheckBox1">
          <controlPr defaultSize="0" autoFill="0" autoLine="0" linkedCell="A65" r:id="rId5">
            <anchor moveWithCells="1">
              <from>
                <xdr:col>2</xdr:col>
                <xdr:colOff>95250</xdr:colOff>
                <xdr:row>14</xdr:row>
                <xdr:rowOff>171450</xdr:rowOff>
              </from>
              <to>
                <xdr:col>2</xdr:col>
                <xdr:colOff>361950</xdr:colOff>
                <xdr:row>16</xdr:row>
                <xdr:rowOff>19050</xdr:rowOff>
              </to>
            </anchor>
          </controlPr>
        </control>
      </mc:Choice>
      <mc:Fallback>
        <control shapeId="219137" r:id="rId4" name="CheckBox1"/>
      </mc:Fallback>
    </mc:AlternateContent>
  </control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6"/>
  <sheetViews>
    <sheetView topLeftCell="A40" workbookViewId="0">
      <selection activeCell="F5" sqref="F5"/>
    </sheetView>
  </sheetViews>
  <sheetFormatPr defaultRowHeight="12.75"/>
  <cols>
    <col min="1" max="1" width="9.42578125" customWidth="1"/>
    <col min="2" max="2" width="11.5703125" customWidth="1"/>
    <col min="5" max="5" width="11.28515625" customWidth="1"/>
    <col min="7" max="7" width="11.28515625" customWidth="1"/>
    <col min="8" max="8" width="10.5703125" customWidth="1"/>
    <col min="10" max="10" width="11.5703125" customWidth="1"/>
    <col min="11" max="11" width="10.42578125" customWidth="1"/>
  </cols>
  <sheetData>
    <row r="1" spans="1:12">
      <c r="A1" t="s">
        <v>0</v>
      </c>
      <c r="G1" t="s">
        <v>462</v>
      </c>
      <c r="J1" t="s">
        <v>461</v>
      </c>
    </row>
    <row r="2" spans="1:12">
      <c r="A2" t="s">
        <v>465</v>
      </c>
      <c r="G2" s="10">
        <f>+H2/E74</f>
        <v>0.26684903171035135</v>
      </c>
      <c r="H2" s="140">
        <f>+'Lurito Old-Douglas'!E10</f>
        <v>37838.739053173915</v>
      </c>
      <c r="I2" t="s">
        <v>448</v>
      </c>
      <c r="J2" s="63">
        <f>+J76</f>
        <v>0</v>
      </c>
      <c r="K2" s="139">
        <f>+J2/E74</f>
        <v>0</v>
      </c>
      <c r="L2" s="138">
        <v>0</v>
      </c>
    </row>
    <row r="3" spans="1:12">
      <c r="A3" s="1" t="str">
        <f>+'Priceout-Chelan'!A3</f>
        <v>12 Months Ended September 30, 2022</v>
      </c>
      <c r="H3" s="10">
        <f>+G2</f>
        <v>0.26684903171035135</v>
      </c>
      <c r="I3" t="s">
        <v>459</v>
      </c>
    </row>
    <row r="4" spans="1:12">
      <c r="E4" s="643" t="s">
        <v>1342</v>
      </c>
      <c r="F4" s="643" t="s">
        <v>541</v>
      </c>
      <c r="H4" s="10">
        <f>+G2</f>
        <v>0.26684903171035135</v>
      </c>
      <c r="I4" t="s">
        <v>458</v>
      </c>
    </row>
    <row r="6" spans="1:12" ht="13.5" thickBot="1">
      <c r="A6" s="137" t="s">
        <v>464</v>
      </c>
      <c r="B6" s="5"/>
      <c r="C6" s="5"/>
    </row>
    <row r="7" spans="1:12">
      <c r="F7" s="136"/>
      <c r="G7" s="135" t="s">
        <v>454</v>
      </c>
      <c r="H7" s="134"/>
      <c r="I7" s="136"/>
      <c r="J7" s="135" t="s">
        <v>98</v>
      </c>
      <c r="K7" s="134"/>
    </row>
    <row r="8" spans="1:12">
      <c r="C8" s="2" t="s">
        <v>456</v>
      </c>
      <c r="D8" s="93" t="s">
        <v>455</v>
      </c>
      <c r="E8" s="93" t="s">
        <v>452</v>
      </c>
      <c r="F8" s="133" t="s">
        <v>454</v>
      </c>
      <c r="G8" s="93" t="s">
        <v>452</v>
      </c>
      <c r="H8" s="132" t="s">
        <v>451</v>
      </c>
      <c r="I8" s="133" t="s">
        <v>453</v>
      </c>
      <c r="J8" s="93" t="s">
        <v>452</v>
      </c>
      <c r="K8" s="132" t="s">
        <v>451</v>
      </c>
    </row>
    <row r="9" spans="1:12" ht="13.5" thickBot="1">
      <c r="A9" s="5" t="s">
        <v>450</v>
      </c>
      <c r="B9" s="5"/>
      <c r="C9" s="20" t="s">
        <v>198</v>
      </c>
      <c r="D9" s="131" t="s">
        <v>99</v>
      </c>
      <c r="E9" s="131" t="s">
        <v>2</v>
      </c>
      <c r="F9" s="130" t="s">
        <v>449</v>
      </c>
      <c r="G9" s="20" t="s">
        <v>2</v>
      </c>
      <c r="H9" s="129" t="s">
        <v>448</v>
      </c>
      <c r="I9" s="130" t="s">
        <v>449</v>
      </c>
      <c r="J9" s="20" t="s">
        <v>2</v>
      </c>
      <c r="K9" s="129" t="s">
        <v>448</v>
      </c>
    </row>
    <row r="10" spans="1:12">
      <c r="A10" t="s">
        <v>447</v>
      </c>
    </row>
    <row r="11" spans="1:12">
      <c r="A11" t="s">
        <v>446</v>
      </c>
      <c r="C11" s="122">
        <f>+'Service Counts'!R10</f>
        <v>0</v>
      </c>
      <c r="D11" s="63">
        <f>+'Service Counts'!P10</f>
        <v>13.65</v>
      </c>
      <c r="E11" s="56">
        <f t="shared" ref="E11:E29" si="0">+C11*D11</f>
        <v>0</v>
      </c>
      <c r="F11" s="63">
        <f t="shared" ref="F11:F29" si="1">+D11*(1+$H$4)</f>
        <v>17.292489282846297</v>
      </c>
      <c r="G11" s="63">
        <f t="shared" ref="G11:G29" si="2">+C11*F11</f>
        <v>0</v>
      </c>
      <c r="H11" s="10">
        <f t="shared" ref="H11:H29" si="3">+IF(C11=0,0,(G11-E11)/E11)</f>
        <v>0</v>
      </c>
      <c r="I11" s="143">
        <v>13.65</v>
      </c>
      <c r="J11" s="73">
        <f t="shared" ref="J11:J29" si="4">+C11*I11</f>
        <v>0</v>
      </c>
      <c r="K11" s="10">
        <f t="shared" ref="K11:K29" si="5">+IF(C11=0,0,(J11-E11)/E11)</f>
        <v>0</v>
      </c>
      <c r="L11" s="63">
        <f t="shared" ref="L11:L29" si="6">+D11*(1+$L$2)</f>
        <v>13.65</v>
      </c>
    </row>
    <row r="12" spans="1:12">
      <c r="A12" t="s">
        <v>445</v>
      </c>
      <c r="C12" s="122">
        <f>+'Service Counts'!R11</f>
        <v>0</v>
      </c>
      <c r="D12" s="63">
        <f>+'Service Counts'!P11</f>
        <v>8.75</v>
      </c>
      <c r="E12" s="56">
        <f t="shared" si="0"/>
        <v>0</v>
      </c>
      <c r="F12" s="63">
        <f t="shared" si="1"/>
        <v>11.084929027465574</v>
      </c>
      <c r="G12" s="63">
        <f t="shared" si="2"/>
        <v>0</v>
      </c>
      <c r="H12" s="10">
        <f t="shared" si="3"/>
        <v>0</v>
      </c>
      <c r="I12" s="143">
        <v>8.75</v>
      </c>
      <c r="J12" s="73">
        <f t="shared" si="4"/>
        <v>0</v>
      </c>
      <c r="K12" s="10">
        <f t="shared" si="5"/>
        <v>0</v>
      </c>
      <c r="L12" s="63">
        <f t="shared" si="6"/>
        <v>8.75</v>
      </c>
    </row>
    <row r="13" spans="1:12">
      <c r="A13" t="s">
        <v>444</v>
      </c>
      <c r="C13" s="122">
        <f>+'Service Counts'!R12</f>
        <v>0</v>
      </c>
      <c r="D13" s="63">
        <f>+'Service Counts'!P12</f>
        <v>12.6</v>
      </c>
      <c r="E13" s="6">
        <f t="shared" si="0"/>
        <v>0</v>
      </c>
      <c r="F13" s="63">
        <f t="shared" si="1"/>
        <v>15.962297799550427</v>
      </c>
      <c r="G13" s="53">
        <f t="shared" si="2"/>
        <v>0</v>
      </c>
      <c r="H13" s="10">
        <f t="shared" si="3"/>
        <v>0</v>
      </c>
      <c r="I13" s="143">
        <v>12.6</v>
      </c>
      <c r="J13" s="53">
        <f t="shared" si="4"/>
        <v>0</v>
      </c>
      <c r="K13" s="10">
        <f t="shared" si="5"/>
        <v>0</v>
      </c>
      <c r="L13" s="63">
        <f t="shared" si="6"/>
        <v>12.6</v>
      </c>
    </row>
    <row r="14" spans="1:12">
      <c r="A14" t="s">
        <v>443</v>
      </c>
      <c r="C14" s="122">
        <f>+'Service Counts'!R13</f>
        <v>0</v>
      </c>
      <c r="D14" s="63">
        <f>+'Service Counts'!P13</f>
        <v>16.45</v>
      </c>
      <c r="E14" s="6">
        <f t="shared" si="0"/>
        <v>0</v>
      </c>
      <c r="F14" s="63">
        <f t="shared" si="1"/>
        <v>20.839666571635277</v>
      </c>
      <c r="G14" s="53">
        <f t="shared" si="2"/>
        <v>0</v>
      </c>
      <c r="H14" s="10">
        <f t="shared" si="3"/>
        <v>0</v>
      </c>
      <c r="I14" s="143">
        <v>16.45</v>
      </c>
      <c r="J14" s="53">
        <f t="shared" si="4"/>
        <v>0</v>
      </c>
      <c r="K14" s="10">
        <f t="shared" si="5"/>
        <v>0</v>
      </c>
      <c r="L14" s="63">
        <f t="shared" si="6"/>
        <v>16.45</v>
      </c>
    </row>
    <row r="15" spans="1:12">
      <c r="A15" t="s">
        <v>442</v>
      </c>
      <c r="C15" s="122">
        <f>+'Service Counts'!R14</f>
        <v>592.65</v>
      </c>
      <c r="D15" s="63">
        <f>+'Service Counts'!P14</f>
        <v>16.350000000000001</v>
      </c>
      <c r="E15" s="6">
        <f t="shared" si="0"/>
        <v>9689.8275000000012</v>
      </c>
      <c r="F15" s="63">
        <f t="shared" si="1"/>
        <v>20.712981668464245</v>
      </c>
      <c r="G15" s="53">
        <f t="shared" si="2"/>
        <v>12275.548585815335</v>
      </c>
      <c r="H15" s="10">
        <f t="shared" si="3"/>
        <v>0.26684903171035124</v>
      </c>
      <c r="I15" s="143">
        <v>16.350000000000001</v>
      </c>
      <c r="J15" s="53">
        <f t="shared" si="4"/>
        <v>9689.8275000000012</v>
      </c>
      <c r="K15" s="10">
        <f t="shared" si="5"/>
        <v>0</v>
      </c>
      <c r="L15" s="63">
        <f t="shared" si="6"/>
        <v>16.350000000000001</v>
      </c>
    </row>
    <row r="16" spans="1:12">
      <c r="A16" t="s">
        <v>441</v>
      </c>
      <c r="C16" s="122">
        <f>+'Service Counts'!R15</f>
        <v>999.2</v>
      </c>
      <c r="D16" s="63">
        <f>+'Service Counts'!P15</f>
        <v>20.55</v>
      </c>
      <c r="E16" s="6">
        <f t="shared" si="0"/>
        <v>20533.560000000001</v>
      </c>
      <c r="F16" s="63">
        <f t="shared" si="1"/>
        <v>26.033747601647722</v>
      </c>
      <c r="G16" s="53">
        <f t="shared" si="2"/>
        <v>26012.920603566406</v>
      </c>
      <c r="H16" s="10">
        <f t="shared" si="3"/>
        <v>0.26684903171035146</v>
      </c>
      <c r="I16" s="143">
        <v>20.55</v>
      </c>
      <c r="J16" s="53">
        <f t="shared" si="4"/>
        <v>20533.560000000001</v>
      </c>
      <c r="K16" s="10">
        <f t="shared" si="5"/>
        <v>0</v>
      </c>
      <c r="L16" s="63">
        <f t="shared" si="6"/>
        <v>20.55</v>
      </c>
    </row>
    <row r="17" spans="1:12">
      <c r="A17" t="s">
        <v>440</v>
      </c>
      <c r="C17" s="122">
        <f>+'Service Counts'!R16</f>
        <v>285.2</v>
      </c>
      <c r="D17" s="63">
        <f>+'Service Counts'!P16</f>
        <v>24.25</v>
      </c>
      <c r="E17" s="6">
        <f t="shared" si="0"/>
        <v>6916.0999999999995</v>
      </c>
      <c r="F17" s="63">
        <f t="shared" si="1"/>
        <v>30.72108901897602</v>
      </c>
      <c r="G17" s="53">
        <f t="shared" si="2"/>
        <v>8761.6545882119608</v>
      </c>
      <c r="H17" s="10">
        <f t="shared" si="3"/>
        <v>0.2668490317103514</v>
      </c>
      <c r="I17" s="143">
        <v>24.25</v>
      </c>
      <c r="J17" s="53">
        <f t="shared" si="4"/>
        <v>6916.0999999999995</v>
      </c>
      <c r="K17" s="10">
        <f t="shared" si="5"/>
        <v>0</v>
      </c>
      <c r="L17" s="63">
        <f t="shared" si="6"/>
        <v>24.25</v>
      </c>
    </row>
    <row r="18" spans="1:12">
      <c r="A18" t="s">
        <v>439</v>
      </c>
      <c r="C18" s="122">
        <f>+'Service Counts'!R17</f>
        <v>116.1</v>
      </c>
      <c r="D18" s="63">
        <f>+'Service Counts'!P17</f>
        <v>27.75</v>
      </c>
      <c r="E18" s="6">
        <f t="shared" si="0"/>
        <v>3221.7749999999996</v>
      </c>
      <c r="F18" s="63">
        <f t="shared" si="1"/>
        <v>35.15506062996225</v>
      </c>
      <c r="G18" s="53">
        <f t="shared" si="2"/>
        <v>4081.5025391386171</v>
      </c>
      <c r="H18" s="10">
        <f t="shared" si="3"/>
        <v>0.26684903171035146</v>
      </c>
      <c r="I18" s="143">
        <v>27.75</v>
      </c>
      <c r="J18" s="53">
        <f t="shared" si="4"/>
        <v>3221.7749999999996</v>
      </c>
      <c r="K18" s="10">
        <f t="shared" si="5"/>
        <v>0</v>
      </c>
      <c r="L18" s="63">
        <f t="shared" si="6"/>
        <v>27.75</v>
      </c>
    </row>
    <row r="19" spans="1:12">
      <c r="A19" t="s">
        <v>438</v>
      </c>
      <c r="C19" s="122">
        <f>+'Service Counts'!R18</f>
        <v>32.75</v>
      </c>
      <c r="D19" s="63">
        <f>+'Service Counts'!P18</f>
        <v>33.25</v>
      </c>
      <c r="E19" s="6">
        <f t="shared" si="0"/>
        <v>1088.9375</v>
      </c>
      <c r="F19" s="63">
        <f t="shared" si="1"/>
        <v>42.122730304369185</v>
      </c>
      <c r="G19" s="53">
        <f t="shared" si="2"/>
        <v>1379.5194174680908</v>
      </c>
      <c r="H19" s="10">
        <f t="shared" si="3"/>
        <v>0.2668490317103514</v>
      </c>
      <c r="I19" s="143">
        <v>33.25</v>
      </c>
      <c r="J19" s="53">
        <f t="shared" si="4"/>
        <v>1088.9375</v>
      </c>
      <c r="K19" s="10">
        <f t="shared" si="5"/>
        <v>0</v>
      </c>
      <c r="L19" s="63">
        <f t="shared" si="6"/>
        <v>33.25</v>
      </c>
    </row>
    <row r="20" spans="1:12">
      <c r="A20" t="s">
        <v>437</v>
      </c>
      <c r="C20" s="122">
        <f>+'Service Counts'!R19</f>
        <v>44.25</v>
      </c>
      <c r="D20" s="63">
        <f>+'Service Counts'!P19</f>
        <v>36.85</v>
      </c>
      <c r="E20" s="6">
        <f t="shared" si="0"/>
        <v>1630.6125</v>
      </c>
      <c r="F20" s="63">
        <f t="shared" si="1"/>
        <v>46.683386818526451</v>
      </c>
      <c r="G20" s="53">
        <f t="shared" si="2"/>
        <v>2065.7398667197954</v>
      </c>
      <c r="H20" s="10">
        <f t="shared" si="3"/>
        <v>0.26684903171035146</v>
      </c>
      <c r="I20" s="143">
        <v>36.85</v>
      </c>
      <c r="J20" s="53">
        <f t="shared" si="4"/>
        <v>1630.6125</v>
      </c>
      <c r="K20" s="10">
        <f t="shared" si="5"/>
        <v>0</v>
      </c>
      <c r="L20" s="63">
        <f t="shared" si="6"/>
        <v>36.85</v>
      </c>
    </row>
    <row r="21" spans="1:12">
      <c r="A21" t="s">
        <v>434</v>
      </c>
      <c r="C21" s="122">
        <f>+'Service Counts'!R22</f>
        <v>0</v>
      </c>
      <c r="D21" s="63">
        <f>+'Service Counts'!P22</f>
        <v>0</v>
      </c>
      <c r="E21" s="6">
        <f t="shared" si="0"/>
        <v>0</v>
      </c>
      <c r="F21" s="63">
        <f t="shared" si="1"/>
        <v>0</v>
      </c>
      <c r="G21" s="53">
        <f t="shared" si="2"/>
        <v>0</v>
      </c>
      <c r="H21" s="10">
        <f t="shared" si="3"/>
        <v>0</v>
      </c>
      <c r="I21" s="143">
        <f>+L21</f>
        <v>0</v>
      </c>
      <c r="J21" s="53">
        <f t="shared" si="4"/>
        <v>0</v>
      </c>
      <c r="K21" s="10">
        <f t="shared" si="5"/>
        <v>0</v>
      </c>
      <c r="L21" s="63">
        <f t="shared" si="6"/>
        <v>0</v>
      </c>
    </row>
    <row r="22" spans="1:12">
      <c r="A22" t="s">
        <v>433</v>
      </c>
      <c r="C22" s="122">
        <f>+'Service Counts'!R23</f>
        <v>0</v>
      </c>
      <c r="D22" s="63">
        <f>+'Service Counts'!P23</f>
        <v>0</v>
      </c>
      <c r="E22" s="6">
        <f t="shared" si="0"/>
        <v>0</v>
      </c>
      <c r="F22" s="63">
        <f t="shared" si="1"/>
        <v>0</v>
      </c>
      <c r="G22" s="53">
        <f t="shared" si="2"/>
        <v>0</v>
      </c>
      <c r="H22" s="10">
        <f t="shared" si="3"/>
        <v>0</v>
      </c>
      <c r="I22" s="143">
        <f>+L22</f>
        <v>0</v>
      </c>
      <c r="J22" s="53">
        <f t="shared" si="4"/>
        <v>0</v>
      </c>
      <c r="K22" s="10">
        <f t="shared" si="5"/>
        <v>0</v>
      </c>
      <c r="L22" s="63">
        <f t="shared" si="6"/>
        <v>0</v>
      </c>
    </row>
    <row r="23" spans="1:12">
      <c r="A23" t="s">
        <v>432</v>
      </c>
      <c r="C23" s="122">
        <f>+'Service Counts'!R24</f>
        <v>0</v>
      </c>
      <c r="D23" s="63">
        <f>+'Service Counts'!P24</f>
        <v>0</v>
      </c>
      <c r="E23" s="6">
        <f t="shared" si="0"/>
        <v>0</v>
      </c>
      <c r="F23" s="63">
        <f t="shared" si="1"/>
        <v>0</v>
      </c>
      <c r="G23" s="53">
        <f t="shared" si="2"/>
        <v>0</v>
      </c>
      <c r="H23" s="10">
        <f t="shared" si="3"/>
        <v>0</v>
      </c>
      <c r="I23" s="143">
        <f>+L23</f>
        <v>0</v>
      </c>
      <c r="J23" s="53">
        <f t="shared" si="4"/>
        <v>0</v>
      </c>
      <c r="K23" s="10">
        <f t="shared" si="5"/>
        <v>0</v>
      </c>
      <c r="L23" s="63">
        <f t="shared" si="6"/>
        <v>0</v>
      </c>
    </row>
    <row r="24" spans="1:12">
      <c r="A24" t="s">
        <v>431</v>
      </c>
      <c r="C24" s="122">
        <f>+'Service Counts'!R26</f>
        <v>159</v>
      </c>
      <c r="D24" s="63">
        <f>+'Service Counts'!P26</f>
        <v>3.95</v>
      </c>
      <c r="E24" s="6">
        <f t="shared" si="0"/>
        <v>628.05000000000007</v>
      </c>
      <c r="F24" s="63">
        <f t="shared" si="1"/>
        <v>5.0040536752558884</v>
      </c>
      <c r="G24" s="53">
        <f t="shared" si="2"/>
        <v>795.64453436568624</v>
      </c>
      <c r="H24" s="10">
        <f t="shared" si="3"/>
        <v>0.26684903171035135</v>
      </c>
      <c r="I24" s="143">
        <v>3.95</v>
      </c>
      <c r="J24" s="53">
        <f t="shared" si="4"/>
        <v>628.05000000000007</v>
      </c>
      <c r="K24" s="10">
        <f t="shared" si="5"/>
        <v>0</v>
      </c>
      <c r="L24" s="63">
        <f t="shared" si="6"/>
        <v>3.95</v>
      </c>
    </row>
    <row r="25" spans="1:12">
      <c r="A25" t="s">
        <v>430</v>
      </c>
      <c r="C25" s="122">
        <f>+'Service Counts'!R27</f>
        <v>0</v>
      </c>
      <c r="D25" s="63">
        <f>+'Service Counts'!P27</f>
        <v>2.95</v>
      </c>
      <c r="E25" s="6">
        <f t="shared" si="0"/>
        <v>0</v>
      </c>
      <c r="F25" s="63">
        <f t="shared" si="1"/>
        <v>3.7372046435455366</v>
      </c>
      <c r="G25" s="53">
        <f t="shared" si="2"/>
        <v>0</v>
      </c>
      <c r="H25" s="10">
        <f t="shared" si="3"/>
        <v>0</v>
      </c>
      <c r="I25" s="143">
        <v>2.95</v>
      </c>
      <c r="J25" s="53">
        <f t="shared" si="4"/>
        <v>0</v>
      </c>
      <c r="K25" s="10">
        <f t="shared" si="5"/>
        <v>0</v>
      </c>
      <c r="L25" s="63">
        <f t="shared" si="6"/>
        <v>2.95</v>
      </c>
    </row>
    <row r="26" spans="1:12">
      <c r="A26" t="s">
        <v>463</v>
      </c>
      <c r="C26" s="122">
        <f>+'Service Counts'!R28</f>
        <v>0</v>
      </c>
      <c r="D26" s="63">
        <f>+'Service Counts'!P28</f>
        <v>1.65</v>
      </c>
      <c r="E26" s="6">
        <f t="shared" si="0"/>
        <v>0</v>
      </c>
      <c r="F26" s="63">
        <f t="shared" si="1"/>
        <v>2.0903009023220798</v>
      </c>
      <c r="G26" s="53">
        <f t="shared" si="2"/>
        <v>0</v>
      </c>
      <c r="H26" s="10">
        <f t="shared" si="3"/>
        <v>0</v>
      </c>
      <c r="I26" s="143">
        <v>1.65</v>
      </c>
      <c r="J26" s="53">
        <f t="shared" si="4"/>
        <v>0</v>
      </c>
      <c r="K26" s="10">
        <f t="shared" si="5"/>
        <v>0</v>
      </c>
      <c r="L26" s="63">
        <f t="shared" si="6"/>
        <v>1.65</v>
      </c>
    </row>
    <row r="27" spans="1:12">
      <c r="A27" t="s">
        <v>428</v>
      </c>
      <c r="C27" s="122">
        <f>+'Service Counts'!R29</f>
        <v>6.25</v>
      </c>
      <c r="D27" s="63">
        <f>+'Service Counts'!P29</f>
        <v>10.55</v>
      </c>
      <c r="E27" s="6">
        <f t="shared" si="0"/>
        <v>65.9375</v>
      </c>
      <c r="F27" s="63">
        <f t="shared" si="1"/>
        <v>13.365257284544208</v>
      </c>
      <c r="G27" s="53">
        <f t="shared" si="2"/>
        <v>83.532858028401307</v>
      </c>
      <c r="H27" s="10">
        <f t="shared" si="3"/>
        <v>0.26684903171035157</v>
      </c>
      <c r="I27" s="143">
        <v>10.55</v>
      </c>
      <c r="J27" s="53">
        <f t="shared" si="4"/>
        <v>65.9375</v>
      </c>
      <c r="K27" s="10">
        <f t="shared" si="5"/>
        <v>0</v>
      </c>
      <c r="L27" s="63">
        <f t="shared" si="6"/>
        <v>10.55</v>
      </c>
    </row>
    <row r="28" spans="1:12">
      <c r="A28" t="s">
        <v>427</v>
      </c>
      <c r="C28" s="122">
        <f>+'Service Counts'!R30</f>
        <v>68.75</v>
      </c>
      <c r="D28" s="63">
        <f>+'Service Counts'!P30</f>
        <v>19.600000000000001</v>
      </c>
      <c r="E28" s="6">
        <f t="shared" si="0"/>
        <v>1347.5</v>
      </c>
      <c r="F28" s="63">
        <f t="shared" si="1"/>
        <v>24.830241021522887</v>
      </c>
      <c r="G28" s="53">
        <f t="shared" si="2"/>
        <v>1707.0790702296986</v>
      </c>
      <c r="H28" s="10">
        <f t="shared" si="3"/>
        <v>0.26684903171035146</v>
      </c>
      <c r="I28" s="143">
        <v>19.600000000000001</v>
      </c>
      <c r="J28" s="53">
        <f t="shared" si="4"/>
        <v>1347.5</v>
      </c>
      <c r="K28" s="10">
        <f t="shared" si="5"/>
        <v>0</v>
      </c>
      <c r="L28" s="63">
        <f t="shared" si="6"/>
        <v>19.600000000000001</v>
      </c>
    </row>
    <row r="29" spans="1:12">
      <c r="A29" t="s">
        <v>426</v>
      </c>
      <c r="C29" s="122">
        <f>+'Service Counts'!R31</f>
        <v>0</v>
      </c>
      <c r="D29" s="63">
        <f>+'Service Counts'!P31</f>
        <v>12.2</v>
      </c>
      <c r="E29" s="43">
        <f t="shared" si="0"/>
        <v>0</v>
      </c>
      <c r="F29" s="63">
        <f t="shared" si="1"/>
        <v>15.455558186866286</v>
      </c>
      <c r="G29" s="57">
        <f t="shared" si="2"/>
        <v>0</v>
      </c>
      <c r="H29" s="10">
        <f t="shared" si="3"/>
        <v>0</v>
      </c>
      <c r="I29" s="143">
        <v>12.2</v>
      </c>
      <c r="J29" s="57">
        <f t="shared" si="4"/>
        <v>0</v>
      </c>
      <c r="K29" s="10">
        <f t="shared" si="5"/>
        <v>0</v>
      </c>
      <c r="L29" s="63">
        <f t="shared" si="6"/>
        <v>12.2</v>
      </c>
    </row>
    <row r="30" spans="1:12">
      <c r="C30" s="122"/>
      <c r="D30" s="63"/>
      <c r="E30" s="56">
        <f>SUM(E11:E29)</f>
        <v>45122.30000000001</v>
      </c>
      <c r="G30" s="56">
        <f>SUM(G11:G29)</f>
        <v>57163.142063543994</v>
      </c>
      <c r="I30" s="127"/>
      <c r="J30" s="56">
        <f>SUM(J11:J29)</f>
        <v>45122.30000000001</v>
      </c>
      <c r="K30" s="125">
        <f>(+J30-E30)/E30</f>
        <v>0</v>
      </c>
    </row>
    <row r="31" spans="1:12">
      <c r="A31" t="s">
        <v>425</v>
      </c>
      <c r="C31" s="122"/>
      <c r="D31" s="63"/>
      <c r="I31" s="127"/>
      <c r="J31" s="53"/>
    </row>
    <row r="32" spans="1:12">
      <c r="A32" t="s">
        <v>424</v>
      </c>
      <c r="C32" s="122">
        <f>+'Service Counts'!R34</f>
        <v>823</v>
      </c>
      <c r="D32" s="63">
        <f>+'Service Counts'!P34</f>
        <v>15.25</v>
      </c>
      <c r="E32" s="6">
        <f t="shared" ref="E32:E48" si="7">+C32*D32</f>
        <v>12550.75</v>
      </c>
      <c r="F32" s="63">
        <f t="shared" ref="F32:F48" si="8">+D32*(1+$H$4)</f>
        <v>19.319447733582859</v>
      </c>
      <c r="G32" s="53">
        <f t="shared" ref="G32:G48" si="9">+C32*F32</f>
        <v>15899.905484738692</v>
      </c>
      <c r="H32" s="10">
        <f t="shared" ref="H32:H48" si="10">+IF(C32=0,0,(G32-E32)/E32)</f>
        <v>0.26684903171035135</v>
      </c>
      <c r="I32" s="143">
        <v>15.25</v>
      </c>
      <c r="J32" s="53">
        <f t="shared" ref="J32:J48" si="11">+C32*I32</f>
        <v>12550.75</v>
      </c>
      <c r="K32" s="10">
        <f t="shared" ref="K32:K48" si="12">+IF(C32=0,0,(J32-E32)/E32)</f>
        <v>0</v>
      </c>
      <c r="L32" s="63">
        <f t="shared" ref="L32:L48" si="13">+D32*(1+$L$2)</f>
        <v>15.25</v>
      </c>
    </row>
    <row r="33" spans="1:12">
      <c r="A33" s="643" t="s">
        <v>1417</v>
      </c>
      <c r="C33" s="122">
        <f>+'Service Counts'!R35</f>
        <v>0</v>
      </c>
      <c r="D33" s="63">
        <f>+'Service Counts'!P35</f>
        <v>0</v>
      </c>
      <c r="E33" s="6">
        <f t="shared" ref="E33" si="14">+C33*D33</f>
        <v>0</v>
      </c>
      <c r="F33" s="63">
        <f t="shared" ref="F33" si="15">+D33*(1+$H$4)</f>
        <v>0</v>
      </c>
      <c r="G33" s="53">
        <f t="shared" ref="G33" si="16">+C33*F33</f>
        <v>0</v>
      </c>
      <c r="H33" s="10">
        <f t="shared" si="10"/>
        <v>0</v>
      </c>
      <c r="I33" s="143">
        <v>15.25</v>
      </c>
      <c r="J33" s="53">
        <f t="shared" ref="J33" si="17">+C33*I33</f>
        <v>0</v>
      </c>
      <c r="K33" s="10">
        <f t="shared" ref="K33" si="18">+IF(C33=0,0,(J33-E33)/E33)</f>
        <v>0</v>
      </c>
      <c r="L33" s="63">
        <f t="shared" ref="L33" si="19">+D33*(1+$L$2)</f>
        <v>0</v>
      </c>
    </row>
    <row r="34" spans="1:12">
      <c r="A34" t="s">
        <v>423</v>
      </c>
      <c r="C34" s="122">
        <f>+'Service Counts'!R36</f>
        <v>0</v>
      </c>
      <c r="D34" s="63">
        <f>+'Service Counts'!P36</f>
        <v>20.399999999999999</v>
      </c>
      <c r="E34" s="6">
        <f t="shared" si="7"/>
        <v>0</v>
      </c>
      <c r="F34" s="63">
        <f t="shared" si="8"/>
        <v>25.843720246891166</v>
      </c>
      <c r="G34" s="53">
        <f t="shared" si="9"/>
        <v>0</v>
      </c>
      <c r="H34" s="10">
        <f t="shared" si="10"/>
        <v>0</v>
      </c>
      <c r="I34" s="143">
        <v>20.399999999999999</v>
      </c>
      <c r="J34" s="53">
        <f t="shared" si="11"/>
        <v>0</v>
      </c>
      <c r="K34" s="10">
        <f t="shared" si="12"/>
        <v>0</v>
      </c>
      <c r="L34" s="63">
        <f t="shared" si="13"/>
        <v>20.399999999999999</v>
      </c>
    </row>
    <row r="35" spans="1:12">
      <c r="A35" t="s">
        <v>422</v>
      </c>
      <c r="C35" s="122">
        <f>+'Service Counts'!R37</f>
        <v>653</v>
      </c>
      <c r="D35" s="63">
        <f>+'Service Counts'!P37</f>
        <v>23.3</v>
      </c>
      <c r="E35" s="6">
        <f t="shared" si="7"/>
        <v>15214.9</v>
      </c>
      <c r="F35" s="63">
        <f t="shared" si="8"/>
        <v>29.517582438851186</v>
      </c>
      <c r="G35" s="53">
        <f t="shared" si="9"/>
        <v>19274.981332569823</v>
      </c>
      <c r="H35" s="10">
        <f t="shared" si="10"/>
        <v>0.26684903171035129</v>
      </c>
      <c r="I35" s="143">
        <v>23.3</v>
      </c>
      <c r="J35" s="53">
        <f t="shared" si="11"/>
        <v>15214.9</v>
      </c>
      <c r="K35" s="10">
        <f t="shared" si="12"/>
        <v>0</v>
      </c>
      <c r="L35" s="63">
        <f t="shared" si="13"/>
        <v>23.3</v>
      </c>
    </row>
    <row r="36" spans="1:12">
      <c r="A36" s="643" t="s">
        <v>1418</v>
      </c>
      <c r="C36" s="122">
        <f>+'Service Counts'!R38</f>
        <v>0</v>
      </c>
      <c r="D36" s="63">
        <v>0</v>
      </c>
      <c r="E36" s="6">
        <f t="shared" ref="E36" si="20">+C36*D36</f>
        <v>0</v>
      </c>
      <c r="F36" s="63">
        <f t="shared" ref="F36" si="21">+D36*(1+$H$4)</f>
        <v>0</v>
      </c>
      <c r="G36" s="53">
        <f t="shared" ref="G36" si="22">+C36*F36</f>
        <v>0</v>
      </c>
      <c r="H36" s="10">
        <f t="shared" ref="H36" si="23">+IF(C36=0,0,(G36-E36)/E36)</f>
        <v>0</v>
      </c>
      <c r="I36" s="143">
        <v>23.3</v>
      </c>
      <c r="J36" s="53">
        <f t="shared" ref="J36" si="24">+C36*I36</f>
        <v>0</v>
      </c>
      <c r="K36" s="10">
        <f t="shared" ref="K36" si="25">+IF(C36=0,0,(J36-E36)/E36)</f>
        <v>0</v>
      </c>
      <c r="L36" s="63">
        <f t="shared" ref="L36" si="26">+D36*(1+$L$2)</f>
        <v>0</v>
      </c>
    </row>
    <row r="37" spans="1:12">
      <c r="A37" t="s">
        <v>421</v>
      </c>
      <c r="C37" s="122">
        <f>+'Service Counts'!R39</f>
        <v>52</v>
      </c>
      <c r="D37" s="63">
        <f>+'Service Counts'!P39</f>
        <v>30.5</v>
      </c>
      <c r="E37" s="6">
        <f t="shared" si="7"/>
        <v>1586</v>
      </c>
      <c r="F37" s="63">
        <f t="shared" si="8"/>
        <v>38.638895467165717</v>
      </c>
      <c r="G37" s="53">
        <f t="shared" si="9"/>
        <v>2009.2225642926173</v>
      </c>
      <c r="H37" s="10">
        <f t="shared" si="10"/>
        <v>0.2668490317103514</v>
      </c>
      <c r="I37" s="143">
        <v>30.5</v>
      </c>
      <c r="J37" s="53">
        <f t="shared" si="11"/>
        <v>1586</v>
      </c>
      <c r="K37" s="10">
        <f t="shared" si="12"/>
        <v>0</v>
      </c>
      <c r="L37" s="63">
        <f t="shared" si="13"/>
        <v>30.5</v>
      </c>
    </row>
    <row r="38" spans="1:12">
      <c r="A38" t="s">
        <v>420</v>
      </c>
      <c r="C38" s="122">
        <f>+'Service Counts'!R40</f>
        <v>612</v>
      </c>
      <c r="D38" s="63">
        <f>+'Service Counts'!P40</f>
        <v>38.950000000000003</v>
      </c>
      <c r="E38" s="6">
        <f t="shared" si="7"/>
        <v>23837.4</v>
      </c>
      <c r="F38" s="63">
        <f t="shared" si="8"/>
        <v>49.343769785118191</v>
      </c>
      <c r="G38" s="53">
        <f t="shared" si="9"/>
        <v>30198.387108492334</v>
      </c>
      <c r="H38" s="10">
        <f t="shared" si="10"/>
        <v>0.26684903171035146</v>
      </c>
      <c r="I38" s="143">
        <v>38.950000000000003</v>
      </c>
      <c r="J38" s="53">
        <f t="shared" si="11"/>
        <v>23837.4</v>
      </c>
      <c r="K38" s="10">
        <f t="shared" si="12"/>
        <v>0</v>
      </c>
      <c r="L38" s="63">
        <f t="shared" si="13"/>
        <v>38.950000000000003</v>
      </c>
    </row>
    <row r="39" spans="1:12">
      <c r="A39" t="s">
        <v>419</v>
      </c>
      <c r="C39" s="122">
        <f>+'Service Counts'!R41</f>
        <v>273</v>
      </c>
      <c r="D39" s="63">
        <f>+'Service Counts'!P41</f>
        <v>61.6</v>
      </c>
      <c r="E39" s="6">
        <f t="shared" si="7"/>
        <v>16816.8</v>
      </c>
      <c r="F39" s="63">
        <f t="shared" si="8"/>
        <v>78.037900353357642</v>
      </c>
      <c r="G39" s="53">
        <f t="shared" si="9"/>
        <v>21304.346796466638</v>
      </c>
      <c r="H39" s="10">
        <f t="shared" si="10"/>
        <v>0.26684903171035146</v>
      </c>
      <c r="I39" s="143">
        <v>61.6</v>
      </c>
      <c r="J39" s="53">
        <f t="shared" si="11"/>
        <v>16816.8</v>
      </c>
      <c r="K39" s="10">
        <f t="shared" si="12"/>
        <v>0</v>
      </c>
      <c r="L39" s="63">
        <f t="shared" si="13"/>
        <v>61.6</v>
      </c>
    </row>
    <row r="40" spans="1:12">
      <c r="A40" t="s">
        <v>418</v>
      </c>
      <c r="C40" s="122">
        <f>+'Service Counts'!R42</f>
        <v>0</v>
      </c>
      <c r="D40" s="63">
        <f>+'Service Counts'!P42</f>
        <v>81.900000000000006</v>
      </c>
      <c r="E40" s="6">
        <f t="shared" si="7"/>
        <v>0</v>
      </c>
      <c r="F40" s="63">
        <f t="shared" si="8"/>
        <v>103.75493569707778</v>
      </c>
      <c r="G40" s="53">
        <f t="shared" si="9"/>
        <v>0</v>
      </c>
      <c r="H40" s="10">
        <f t="shared" si="10"/>
        <v>0</v>
      </c>
      <c r="I40" s="143">
        <v>81.900000000000006</v>
      </c>
      <c r="J40" s="53">
        <f t="shared" si="11"/>
        <v>0</v>
      </c>
      <c r="K40" s="10">
        <f t="shared" si="12"/>
        <v>0</v>
      </c>
      <c r="L40" s="63">
        <f t="shared" si="13"/>
        <v>81.900000000000006</v>
      </c>
    </row>
    <row r="41" spans="1:12">
      <c r="A41" t="s">
        <v>417</v>
      </c>
      <c r="C41" s="122">
        <f>+'Service Counts'!R43</f>
        <v>2</v>
      </c>
      <c r="D41" s="63">
        <f>+'Service Counts'!P43</f>
        <v>8.25</v>
      </c>
      <c r="E41" s="6">
        <f t="shared" si="7"/>
        <v>16.5</v>
      </c>
      <c r="F41" s="63">
        <f t="shared" si="8"/>
        <v>10.451504511610398</v>
      </c>
      <c r="G41" s="53">
        <f t="shared" si="9"/>
        <v>20.903009023220797</v>
      </c>
      <c r="H41" s="10">
        <f t="shared" si="10"/>
        <v>0.26684903171035135</v>
      </c>
      <c r="I41" s="143">
        <v>8.25</v>
      </c>
      <c r="J41" s="53">
        <f t="shared" si="11"/>
        <v>16.5</v>
      </c>
      <c r="K41" s="10">
        <f t="shared" si="12"/>
        <v>0</v>
      </c>
      <c r="L41" s="63">
        <f t="shared" si="13"/>
        <v>8.25</v>
      </c>
    </row>
    <row r="42" spans="1:12">
      <c r="A42" t="s">
        <v>416</v>
      </c>
      <c r="C42" s="122">
        <f>+'Service Counts'!R44</f>
        <v>0</v>
      </c>
      <c r="D42" s="63">
        <f>+'Service Counts'!P44</f>
        <v>10.9</v>
      </c>
      <c r="E42" s="6">
        <f t="shared" si="7"/>
        <v>0</v>
      </c>
      <c r="F42" s="63">
        <f t="shared" si="8"/>
        <v>13.80865444564283</v>
      </c>
      <c r="G42" s="53">
        <f t="shared" si="9"/>
        <v>0</v>
      </c>
      <c r="H42" s="10">
        <f t="shared" si="10"/>
        <v>0</v>
      </c>
      <c r="I42" s="143">
        <v>10.9</v>
      </c>
      <c r="J42" s="53">
        <f t="shared" si="11"/>
        <v>0</v>
      </c>
      <c r="K42" s="10">
        <f t="shared" si="12"/>
        <v>0</v>
      </c>
      <c r="L42" s="63">
        <f t="shared" si="13"/>
        <v>10.9</v>
      </c>
    </row>
    <row r="43" spans="1:12">
      <c r="A43" t="s">
        <v>415</v>
      </c>
      <c r="C43" s="122">
        <f>+'Service Counts'!R45</f>
        <v>3</v>
      </c>
      <c r="D43" s="63">
        <f>+'Service Counts'!P45</f>
        <v>14.5</v>
      </c>
      <c r="E43" s="6">
        <f t="shared" si="7"/>
        <v>43.5</v>
      </c>
      <c r="F43" s="63">
        <f t="shared" si="8"/>
        <v>18.369310959800096</v>
      </c>
      <c r="G43" s="53">
        <f t="shared" si="9"/>
        <v>55.107932879400288</v>
      </c>
      <c r="H43" s="10">
        <f t="shared" si="10"/>
        <v>0.26684903171035146</v>
      </c>
      <c r="I43" s="143">
        <v>14.5</v>
      </c>
      <c r="J43" s="53">
        <f t="shared" si="11"/>
        <v>43.5</v>
      </c>
      <c r="K43" s="10">
        <f t="shared" si="12"/>
        <v>0</v>
      </c>
      <c r="L43" s="63">
        <f t="shared" si="13"/>
        <v>14.5</v>
      </c>
    </row>
    <row r="44" spans="1:12">
      <c r="A44" t="s">
        <v>414</v>
      </c>
      <c r="C44" s="122">
        <f>+'Service Counts'!R46</f>
        <v>0</v>
      </c>
      <c r="D44" s="63">
        <f>+'Service Counts'!P46</f>
        <v>15.2</v>
      </c>
      <c r="E44" s="6">
        <f t="shared" si="7"/>
        <v>0</v>
      </c>
      <c r="F44" s="63">
        <f t="shared" si="8"/>
        <v>19.256105281997339</v>
      </c>
      <c r="G44" s="53">
        <f t="shared" si="9"/>
        <v>0</v>
      </c>
      <c r="H44" s="10">
        <f t="shared" si="10"/>
        <v>0</v>
      </c>
      <c r="I44" s="143">
        <v>15.2</v>
      </c>
      <c r="J44" s="53">
        <f t="shared" si="11"/>
        <v>0</v>
      </c>
      <c r="K44" s="10">
        <f t="shared" si="12"/>
        <v>0</v>
      </c>
      <c r="L44" s="63">
        <f t="shared" si="13"/>
        <v>15.2</v>
      </c>
    </row>
    <row r="45" spans="1:12">
      <c r="A45" t="s">
        <v>413</v>
      </c>
      <c r="C45" s="122">
        <f>+'Service Counts'!R47</f>
        <v>0</v>
      </c>
      <c r="D45" s="63">
        <f>+'Service Counts'!P47</f>
        <v>15.8</v>
      </c>
      <c r="E45" s="6">
        <f t="shared" si="7"/>
        <v>0</v>
      </c>
      <c r="F45" s="63">
        <f t="shared" si="8"/>
        <v>20.016214701023554</v>
      </c>
      <c r="G45" s="53">
        <f t="shared" si="9"/>
        <v>0</v>
      </c>
      <c r="H45" s="10">
        <f t="shared" si="10"/>
        <v>0</v>
      </c>
      <c r="I45" s="143">
        <v>15.8</v>
      </c>
      <c r="J45" s="53">
        <f t="shared" si="11"/>
        <v>0</v>
      </c>
      <c r="K45" s="10">
        <f t="shared" si="12"/>
        <v>0</v>
      </c>
      <c r="L45" s="63">
        <f t="shared" si="13"/>
        <v>15.8</v>
      </c>
    </row>
    <row r="46" spans="1:12">
      <c r="A46" t="s">
        <v>412</v>
      </c>
      <c r="C46" s="122">
        <f>+'Service Counts'!R48</f>
        <v>0</v>
      </c>
      <c r="D46" s="63">
        <f>+'Service Counts'!P48</f>
        <v>18.350000000000001</v>
      </c>
      <c r="E46" s="6">
        <f t="shared" si="7"/>
        <v>0</v>
      </c>
      <c r="F46" s="63">
        <f t="shared" si="8"/>
        <v>23.246679731884949</v>
      </c>
      <c r="G46" s="53">
        <f t="shared" si="9"/>
        <v>0</v>
      </c>
      <c r="H46" s="10">
        <f t="shared" si="10"/>
        <v>0</v>
      </c>
      <c r="I46" s="143">
        <v>18.350000000000001</v>
      </c>
      <c r="J46" s="53">
        <f t="shared" si="11"/>
        <v>0</v>
      </c>
      <c r="K46" s="10">
        <f t="shared" si="12"/>
        <v>0</v>
      </c>
      <c r="L46" s="63">
        <f t="shared" si="13"/>
        <v>18.350000000000001</v>
      </c>
    </row>
    <row r="47" spans="1:12">
      <c r="A47" t="s">
        <v>411</v>
      </c>
      <c r="C47" s="122">
        <f>+'Service Counts'!R49</f>
        <v>0</v>
      </c>
      <c r="D47" s="63">
        <f>+'Service Counts'!P49</f>
        <v>2.2999999999999998</v>
      </c>
      <c r="E47" s="6">
        <f t="shared" si="7"/>
        <v>0</v>
      </c>
      <c r="F47" s="63">
        <f t="shared" si="8"/>
        <v>2.9137527729338077</v>
      </c>
      <c r="G47" s="53">
        <f t="shared" si="9"/>
        <v>0</v>
      </c>
      <c r="H47" s="10">
        <f t="shared" si="10"/>
        <v>0</v>
      </c>
      <c r="I47" s="143">
        <v>2.2999999999999998</v>
      </c>
      <c r="J47" s="53">
        <f t="shared" si="11"/>
        <v>0</v>
      </c>
      <c r="K47" s="10">
        <f t="shared" si="12"/>
        <v>0</v>
      </c>
      <c r="L47" s="63">
        <f t="shared" si="13"/>
        <v>2.2999999999999998</v>
      </c>
    </row>
    <row r="48" spans="1:12">
      <c r="A48" t="s">
        <v>410</v>
      </c>
      <c r="C48" s="122">
        <f>+'Service Counts'!R50</f>
        <v>245</v>
      </c>
      <c r="D48" s="63">
        <f>+'Service Counts'!P50</f>
        <v>1.3</v>
      </c>
      <c r="E48" s="43">
        <f t="shared" si="7"/>
        <v>318.5</v>
      </c>
      <c r="F48" s="63">
        <f t="shared" si="8"/>
        <v>1.6469037412234568</v>
      </c>
      <c r="G48" s="57">
        <f t="shared" si="9"/>
        <v>403.49141659974691</v>
      </c>
      <c r="H48" s="10">
        <f t="shared" si="10"/>
        <v>0.26684903171035135</v>
      </c>
      <c r="I48" s="143">
        <v>1.3</v>
      </c>
      <c r="J48" s="57">
        <f t="shared" si="11"/>
        <v>318.5</v>
      </c>
      <c r="K48" s="10">
        <f t="shared" si="12"/>
        <v>0</v>
      </c>
      <c r="L48" s="63">
        <f t="shared" si="13"/>
        <v>1.3</v>
      </c>
    </row>
    <row r="49" spans="1:12">
      <c r="C49" s="122"/>
      <c r="D49" s="63"/>
      <c r="E49" s="6">
        <f>SUM(E32:E48)</f>
        <v>70384.350000000006</v>
      </c>
      <c r="G49" s="6">
        <f>SUM(G32:G48)</f>
        <v>89166.34564506248</v>
      </c>
      <c r="I49" s="127"/>
      <c r="J49" s="6">
        <f>SUM(J32:J48)</f>
        <v>70384.350000000006</v>
      </c>
      <c r="K49" s="125">
        <f>(+J49-E49)/E49</f>
        <v>0</v>
      </c>
    </row>
    <row r="50" spans="1:12">
      <c r="A50" t="s">
        <v>409</v>
      </c>
      <c r="C50" s="122"/>
      <c r="D50" s="63"/>
      <c r="I50" s="127"/>
      <c r="J50" s="53"/>
    </row>
    <row r="51" spans="1:12">
      <c r="A51" t="s">
        <v>408</v>
      </c>
      <c r="C51" s="122">
        <f>+'Service Counts'!R53</f>
        <v>0</v>
      </c>
      <c r="D51" s="63">
        <f>+'Service Counts'!P53</f>
        <v>95.05</v>
      </c>
      <c r="E51" s="6">
        <f t="shared" ref="E51:E65" si="27">+C51*D51</f>
        <v>0</v>
      </c>
      <c r="F51" s="63">
        <f t="shared" ref="F51:F65" si="28">+D51*(1+$H$4)</f>
        <v>120.41400046406889</v>
      </c>
      <c r="G51" s="53">
        <f t="shared" ref="G51:G65" si="29">+C51*F51</f>
        <v>0</v>
      </c>
      <c r="H51" s="10">
        <f t="shared" ref="H51:H65" si="30">+IF(C51=0,0,(G51-E51)/E51)</f>
        <v>0</v>
      </c>
      <c r="I51" s="143">
        <v>95.05</v>
      </c>
      <c r="J51" s="53">
        <f t="shared" ref="J51:J65" si="31">+C51*I51</f>
        <v>0</v>
      </c>
      <c r="K51" s="10">
        <f t="shared" ref="K51:K65" si="32">+IF(C51=0,0,(J51-E51)/E51)</f>
        <v>0</v>
      </c>
      <c r="L51" s="63">
        <f t="shared" ref="L51:L65" si="33">+D51*(1+$L$2)</f>
        <v>95.05</v>
      </c>
    </row>
    <row r="52" spans="1:12">
      <c r="A52" t="s">
        <v>407</v>
      </c>
      <c r="C52" s="122">
        <f>+'Service Counts'!R54</f>
        <v>8</v>
      </c>
      <c r="D52" s="63">
        <f>+'Service Counts'!P54</f>
        <v>114.95</v>
      </c>
      <c r="E52" s="6">
        <f t="shared" si="27"/>
        <v>919.6</v>
      </c>
      <c r="F52" s="63">
        <f t="shared" si="28"/>
        <v>145.6242961951049</v>
      </c>
      <c r="G52" s="53">
        <f t="shared" si="29"/>
        <v>1164.9943695608392</v>
      </c>
      <c r="H52" s="10">
        <f t="shared" si="30"/>
        <v>0.26684903171035146</v>
      </c>
      <c r="I52" s="143">
        <v>114.95</v>
      </c>
      <c r="J52" s="53">
        <f t="shared" si="31"/>
        <v>919.6</v>
      </c>
      <c r="K52" s="10">
        <f t="shared" si="32"/>
        <v>0</v>
      </c>
      <c r="L52" s="63">
        <f t="shared" si="33"/>
        <v>114.95</v>
      </c>
    </row>
    <row r="53" spans="1:12">
      <c r="A53" t="s">
        <v>406</v>
      </c>
      <c r="C53" s="122">
        <f>+'Service Counts'!R55</f>
        <v>93</v>
      </c>
      <c r="D53" s="63">
        <f>+'Service Counts'!P55</f>
        <v>124.95</v>
      </c>
      <c r="E53" s="6">
        <f t="shared" si="27"/>
        <v>11620.35</v>
      </c>
      <c r="F53" s="63">
        <f t="shared" si="28"/>
        <v>158.29278651220841</v>
      </c>
      <c r="G53" s="53">
        <f t="shared" si="29"/>
        <v>14721.229145635381</v>
      </c>
      <c r="H53" s="10">
        <f t="shared" si="30"/>
        <v>0.26684903171035135</v>
      </c>
      <c r="I53" s="143">
        <v>124.95</v>
      </c>
      <c r="J53" s="53">
        <f t="shared" si="31"/>
        <v>11620.35</v>
      </c>
      <c r="K53" s="10">
        <f t="shared" si="32"/>
        <v>0</v>
      </c>
      <c r="L53" s="63">
        <f t="shared" si="33"/>
        <v>124.95</v>
      </c>
    </row>
    <row r="54" spans="1:12">
      <c r="A54" t="s">
        <v>405</v>
      </c>
      <c r="C54" s="122">
        <f>+'Service Counts'!R56</f>
        <v>0</v>
      </c>
      <c r="D54" s="63">
        <f>+'Service Counts'!P56</f>
        <v>0</v>
      </c>
      <c r="E54" s="6">
        <f t="shared" si="27"/>
        <v>0</v>
      </c>
      <c r="F54" s="63">
        <f t="shared" si="28"/>
        <v>0</v>
      </c>
      <c r="G54" s="53">
        <f t="shared" si="29"/>
        <v>0</v>
      </c>
      <c r="H54" s="10">
        <f t="shared" si="30"/>
        <v>0</v>
      </c>
      <c r="I54" s="143">
        <v>140</v>
      </c>
      <c r="J54" s="53">
        <f t="shared" si="31"/>
        <v>0</v>
      </c>
      <c r="K54" s="10">
        <f t="shared" si="32"/>
        <v>0</v>
      </c>
      <c r="L54" s="63">
        <f t="shared" si="33"/>
        <v>0</v>
      </c>
    </row>
    <row r="55" spans="1:12">
      <c r="A55" t="s">
        <v>404</v>
      </c>
      <c r="C55" s="122">
        <f>+'Service Counts'!R57</f>
        <v>0</v>
      </c>
      <c r="D55" s="63">
        <f>+'Service Counts'!P57</f>
        <v>3.05</v>
      </c>
      <c r="E55" s="6">
        <f t="shared" si="27"/>
        <v>0</v>
      </c>
      <c r="F55" s="63">
        <f t="shared" si="28"/>
        <v>3.8638895467165715</v>
      </c>
      <c r="G55" s="53">
        <f t="shared" si="29"/>
        <v>0</v>
      </c>
      <c r="H55" s="10">
        <f t="shared" si="30"/>
        <v>0</v>
      </c>
      <c r="I55" s="143">
        <v>3.05</v>
      </c>
      <c r="J55" s="53">
        <f t="shared" si="31"/>
        <v>0</v>
      </c>
      <c r="K55" s="10">
        <f t="shared" si="32"/>
        <v>0</v>
      </c>
      <c r="L55" s="63">
        <f t="shared" si="33"/>
        <v>3.05</v>
      </c>
    </row>
    <row r="56" spans="1:12">
      <c r="A56" t="s">
        <v>403</v>
      </c>
      <c r="C56" s="122">
        <f>+'Service Counts'!R58</f>
        <v>486</v>
      </c>
      <c r="D56" s="63">
        <f>+'Service Counts'!P58</f>
        <v>3.55</v>
      </c>
      <c r="E56" s="6">
        <f t="shared" si="27"/>
        <v>1725.3</v>
      </c>
      <c r="F56" s="63">
        <f t="shared" si="28"/>
        <v>4.4973140625717472</v>
      </c>
      <c r="G56" s="53">
        <f t="shared" si="29"/>
        <v>2185.6946344098692</v>
      </c>
      <c r="H56" s="10">
        <f t="shared" si="30"/>
        <v>0.2668490317103514</v>
      </c>
      <c r="I56" s="143">
        <v>3.55</v>
      </c>
      <c r="J56" s="53">
        <f t="shared" si="31"/>
        <v>1725.3</v>
      </c>
      <c r="K56" s="10">
        <f t="shared" si="32"/>
        <v>0</v>
      </c>
      <c r="L56" s="63">
        <f t="shared" si="33"/>
        <v>3.55</v>
      </c>
    </row>
    <row r="57" spans="1:12">
      <c r="A57" t="s">
        <v>402</v>
      </c>
      <c r="C57" s="122">
        <f>+'Service Counts'!R59</f>
        <v>827</v>
      </c>
      <c r="D57" s="63">
        <f>+'Service Counts'!P59</f>
        <v>4.2</v>
      </c>
      <c r="E57" s="6">
        <f t="shared" si="27"/>
        <v>3473.4</v>
      </c>
      <c r="F57" s="63">
        <f t="shared" si="28"/>
        <v>5.320765933183476</v>
      </c>
      <c r="G57" s="53">
        <f t="shared" si="29"/>
        <v>4400.273426742735</v>
      </c>
      <c r="H57" s="10">
        <f t="shared" si="30"/>
        <v>0.26684903171035146</v>
      </c>
      <c r="I57" s="143">
        <v>4.2</v>
      </c>
      <c r="J57" s="53">
        <f t="shared" si="31"/>
        <v>3473.4</v>
      </c>
      <c r="K57" s="10">
        <f t="shared" si="32"/>
        <v>0</v>
      </c>
      <c r="L57" s="63">
        <f t="shared" si="33"/>
        <v>4.2</v>
      </c>
    </row>
    <row r="58" spans="1:12">
      <c r="A58" t="s">
        <v>401</v>
      </c>
      <c r="C58" s="122">
        <f>+'Service Counts'!R60</f>
        <v>0</v>
      </c>
      <c r="D58" s="63">
        <f>+'Service Counts'!P60</f>
        <v>0</v>
      </c>
      <c r="E58" s="6">
        <f t="shared" si="27"/>
        <v>0</v>
      </c>
      <c r="F58" s="63">
        <f t="shared" si="28"/>
        <v>0</v>
      </c>
      <c r="G58" s="53">
        <f t="shared" si="29"/>
        <v>0</v>
      </c>
      <c r="H58" s="10">
        <f t="shared" si="30"/>
        <v>0</v>
      </c>
      <c r="I58" s="143">
        <v>5.05</v>
      </c>
      <c r="J58" s="53">
        <f t="shared" si="31"/>
        <v>0</v>
      </c>
      <c r="K58" s="10">
        <f t="shared" si="32"/>
        <v>0</v>
      </c>
      <c r="L58" s="63">
        <f t="shared" si="33"/>
        <v>0</v>
      </c>
    </row>
    <row r="59" spans="1:12">
      <c r="A59" t="s">
        <v>400</v>
      </c>
      <c r="C59" s="122">
        <f>+'Service Counts'!R61</f>
        <v>0</v>
      </c>
      <c r="D59" s="63">
        <f>+'Service Counts'!P61</f>
        <v>35</v>
      </c>
      <c r="E59" s="6">
        <f t="shared" si="27"/>
        <v>0</v>
      </c>
      <c r="F59" s="63">
        <f t="shared" si="28"/>
        <v>44.339716109862295</v>
      </c>
      <c r="G59" s="53">
        <f t="shared" si="29"/>
        <v>0</v>
      </c>
      <c r="H59" s="10">
        <f t="shared" si="30"/>
        <v>0</v>
      </c>
      <c r="I59" s="143">
        <v>35</v>
      </c>
      <c r="J59" s="53">
        <f t="shared" si="31"/>
        <v>0</v>
      </c>
      <c r="K59" s="10">
        <f t="shared" si="32"/>
        <v>0</v>
      </c>
      <c r="L59" s="63">
        <f t="shared" si="33"/>
        <v>35</v>
      </c>
    </row>
    <row r="60" spans="1:12">
      <c r="A60" t="s">
        <v>399</v>
      </c>
      <c r="C60" s="122">
        <f>+'Service Counts'!R62</f>
        <v>2</v>
      </c>
      <c r="D60" s="63">
        <f>+'Service Counts'!P62</f>
        <v>35</v>
      </c>
      <c r="E60" s="6">
        <f t="shared" si="27"/>
        <v>70</v>
      </c>
      <c r="F60" s="63">
        <f t="shared" si="28"/>
        <v>44.339716109862295</v>
      </c>
      <c r="G60" s="53">
        <f t="shared" si="29"/>
        <v>88.679432219724589</v>
      </c>
      <c r="H60" s="10">
        <f t="shared" si="30"/>
        <v>0.26684903171035129</v>
      </c>
      <c r="I60" s="143">
        <v>35</v>
      </c>
      <c r="J60" s="53">
        <f t="shared" si="31"/>
        <v>70</v>
      </c>
      <c r="K60" s="10">
        <f t="shared" si="32"/>
        <v>0</v>
      </c>
      <c r="L60" s="63">
        <f t="shared" si="33"/>
        <v>35</v>
      </c>
    </row>
    <row r="61" spans="1:12">
      <c r="A61" t="s">
        <v>398</v>
      </c>
      <c r="C61" s="122">
        <f>+'Service Counts'!R63</f>
        <v>8</v>
      </c>
      <c r="D61" s="63">
        <f>+'Service Counts'!P63</f>
        <v>35</v>
      </c>
      <c r="E61" s="6">
        <f t="shared" si="27"/>
        <v>280</v>
      </c>
      <c r="F61" s="63">
        <f t="shared" si="28"/>
        <v>44.339716109862295</v>
      </c>
      <c r="G61" s="53">
        <f t="shared" si="29"/>
        <v>354.71772887889836</v>
      </c>
      <c r="H61" s="10">
        <f t="shared" si="30"/>
        <v>0.26684903171035129</v>
      </c>
      <c r="I61" s="143">
        <v>35</v>
      </c>
      <c r="J61" s="53">
        <f t="shared" si="31"/>
        <v>280</v>
      </c>
      <c r="K61" s="10">
        <f t="shared" si="32"/>
        <v>0</v>
      </c>
      <c r="L61" s="63">
        <f t="shared" si="33"/>
        <v>35</v>
      </c>
    </row>
    <row r="62" spans="1:12">
      <c r="A62" t="s">
        <v>397</v>
      </c>
      <c r="C62" s="122">
        <f>+'Service Counts'!R64</f>
        <v>0</v>
      </c>
      <c r="D62" s="63">
        <f>+'Service Counts'!P64</f>
        <v>0</v>
      </c>
      <c r="E62" s="6">
        <f t="shared" si="27"/>
        <v>0</v>
      </c>
      <c r="F62" s="63">
        <f t="shared" si="28"/>
        <v>0</v>
      </c>
      <c r="G62" s="53">
        <f t="shared" si="29"/>
        <v>0</v>
      </c>
      <c r="H62" s="10">
        <f t="shared" si="30"/>
        <v>0</v>
      </c>
      <c r="I62" s="143">
        <v>35</v>
      </c>
      <c r="J62" s="53">
        <f t="shared" si="31"/>
        <v>0</v>
      </c>
      <c r="K62" s="10">
        <f t="shared" si="32"/>
        <v>0</v>
      </c>
      <c r="L62" s="63">
        <f t="shared" si="33"/>
        <v>0</v>
      </c>
    </row>
    <row r="63" spans="1:12">
      <c r="A63" t="s">
        <v>396</v>
      </c>
      <c r="C63" s="122">
        <f>+'Service Counts'!R65</f>
        <v>3670</v>
      </c>
      <c r="D63" s="63">
        <f>+'Service Counts'!P65</f>
        <v>2.2000000000000002</v>
      </c>
      <c r="E63" s="6">
        <f t="shared" si="27"/>
        <v>8074.0000000000009</v>
      </c>
      <c r="F63" s="63">
        <f t="shared" si="28"/>
        <v>2.7870678697627733</v>
      </c>
      <c r="G63" s="53">
        <f t="shared" si="29"/>
        <v>10228.539082029378</v>
      </c>
      <c r="H63" s="10">
        <f t="shared" si="30"/>
        <v>0.26684903171035135</v>
      </c>
      <c r="I63" s="143">
        <v>2.2000000000000002</v>
      </c>
      <c r="J63" s="53">
        <f t="shared" si="31"/>
        <v>8074.0000000000009</v>
      </c>
      <c r="K63" s="10">
        <f t="shared" si="32"/>
        <v>0</v>
      </c>
      <c r="L63" s="63">
        <f t="shared" si="33"/>
        <v>2.2000000000000002</v>
      </c>
    </row>
    <row r="64" spans="1:12">
      <c r="A64" t="s">
        <v>394</v>
      </c>
      <c r="C64" s="122">
        <f>+'Service Counts'!R67</f>
        <v>0</v>
      </c>
      <c r="D64" s="63">
        <f>+'Service Counts'!P67</f>
        <v>0</v>
      </c>
      <c r="E64" s="6">
        <f t="shared" si="27"/>
        <v>0</v>
      </c>
      <c r="F64" s="63">
        <f t="shared" si="28"/>
        <v>0</v>
      </c>
      <c r="G64" s="53">
        <f t="shared" si="29"/>
        <v>0</v>
      </c>
      <c r="H64" s="10">
        <f t="shared" si="30"/>
        <v>0</v>
      </c>
      <c r="I64" s="143">
        <f>+L64</f>
        <v>0</v>
      </c>
      <c r="J64" s="53">
        <f t="shared" si="31"/>
        <v>0</v>
      </c>
      <c r="K64" s="10">
        <f t="shared" si="32"/>
        <v>0</v>
      </c>
      <c r="L64" s="63">
        <f t="shared" si="33"/>
        <v>0</v>
      </c>
    </row>
    <row r="65" spans="1:12">
      <c r="A65" t="s">
        <v>393</v>
      </c>
      <c r="C65" s="122">
        <f>+'Service Counts'!R68</f>
        <v>0</v>
      </c>
      <c r="D65" s="63">
        <f>+'Service Counts'!P68</f>
        <v>0</v>
      </c>
      <c r="E65" s="43">
        <f t="shared" si="27"/>
        <v>0</v>
      </c>
      <c r="F65" s="63">
        <f t="shared" si="28"/>
        <v>0</v>
      </c>
      <c r="G65" s="57">
        <f t="shared" si="29"/>
        <v>0</v>
      </c>
      <c r="H65" s="10">
        <f t="shared" si="30"/>
        <v>0</v>
      </c>
      <c r="I65" s="143">
        <f>+L65</f>
        <v>0</v>
      </c>
      <c r="J65" s="57">
        <f t="shared" si="31"/>
        <v>0</v>
      </c>
      <c r="K65" s="10">
        <f t="shared" si="32"/>
        <v>0</v>
      </c>
      <c r="L65" s="63">
        <f t="shared" si="33"/>
        <v>0</v>
      </c>
    </row>
    <row r="66" spans="1:12">
      <c r="C66" s="122"/>
      <c r="D66" s="63"/>
      <c r="E66" s="6">
        <f>SUM(E51:E65)</f>
        <v>26162.65</v>
      </c>
      <c r="G66" s="6">
        <f>SUM(G51:G65)</f>
        <v>33144.127819476831</v>
      </c>
      <c r="I66" s="127"/>
      <c r="J66" s="6">
        <f>SUM(J51:J65)</f>
        <v>26162.65</v>
      </c>
      <c r="K66" s="125">
        <f>(+J66-E66)/E66</f>
        <v>0</v>
      </c>
    </row>
    <row r="67" spans="1:12">
      <c r="A67" t="s">
        <v>392</v>
      </c>
      <c r="C67" s="122"/>
      <c r="D67" s="63"/>
      <c r="I67" s="127"/>
      <c r="J67" s="53"/>
    </row>
    <row r="68" spans="1:12">
      <c r="A68" t="s">
        <v>391</v>
      </c>
      <c r="C68" s="122"/>
      <c r="D68" s="63"/>
      <c r="I68" s="127"/>
      <c r="J68" s="53"/>
    </row>
    <row r="69" spans="1:12">
      <c r="A69" t="s">
        <v>390</v>
      </c>
      <c r="C69" s="122">
        <f>+'Service Counts'!R72</f>
        <v>1</v>
      </c>
      <c r="D69" s="63">
        <f>+'Service Counts'!P72</f>
        <v>129</v>
      </c>
      <c r="E69" s="6">
        <f>+C69*D69</f>
        <v>129</v>
      </c>
      <c r="F69" s="63">
        <f>+D69*(1+$H$4)</f>
        <v>163.42352509063534</v>
      </c>
      <c r="G69" s="53">
        <f>+C69*F69</f>
        <v>163.42352509063534</v>
      </c>
      <c r="H69" s="10">
        <f>+IF(C69=0,0,(G69-E69)/E69)</f>
        <v>0.26684903171035146</v>
      </c>
      <c r="I69" s="143">
        <v>129</v>
      </c>
      <c r="J69" s="53">
        <f>+C69*I69</f>
        <v>129</v>
      </c>
      <c r="K69" s="10">
        <f>+IF(C69=0,0,(J69-E69)/E69)</f>
        <v>0</v>
      </c>
      <c r="L69" s="63">
        <f>+D69*(1+$L$2)</f>
        <v>129</v>
      </c>
    </row>
    <row r="70" spans="1:12">
      <c r="A70" t="s">
        <v>389</v>
      </c>
      <c r="C70" s="122">
        <f>+'Service Counts'!R73</f>
        <v>0</v>
      </c>
      <c r="D70" s="63">
        <f>+'Service Counts'!P73</f>
        <v>32</v>
      </c>
      <c r="E70" s="43">
        <f>+C70*D70</f>
        <v>0</v>
      </c>
      <c r="F70" s="63">
        <f>+D70*(1+$H$4)</f>
        <v>40.539169014731243</v>
      </c>
      <c r="G70" s="57">
        <f>+C70*F70</f>
        <v>0</v>
      </c>
      <c r="H70" s="10">
        <f>+IF(C70=0,0,(G70-E70)/E70)</f>
        <v>0</v>
      </c>
      <c r="I70" s="143">
        <v>32</v>
      </c>
      <c r="J70" s="57">
        <f>+C70*I70</f>
        <v>0</v>
      </c>
      <c r="K70" s="10">
        <f>+IF(C70=0,0,(J70-E70)/E70)</f>
        <v>0</v>
      </c>
      <c r="L70" s="63">
        <f>+D70*(1+$L$2)</f>
        <v>32</v>
      </c>
    </row>
    <row r="71" spans="1:12">
      <c r="C71" s="122"/>
      <c r="D71" s="63"/>
      <c r="E71" s="6">
        <f>SUM(E69:E70)</f>
        <v>129</v>
      </c>
      <c r="G71" s="6">
        <f>SUM(G69:G70)</f>
        <v>163.42352509063534</v>
      </c>
      <c r="J71" s="6">
        <f>SUM(J69:J70)</f>
        <v>129</v>
      </c>
      <c r="K71" s="125">
        <f>(+J71-E71)/E71</f>
        <v>0</v>
      </c>
    </row>
    <row r="72" spans="1:12">
      <c r="C72" s="122"/>
      <c r="D72" s="56"/>
    </row>
    <row r="73" spans="1:12">
      <c r="C73" s="122"/>
      <c r="D73" s="56"/>
    </row>
    <row r="74" spans="1:12">
      <c r="C74" s="122">
        <f>+'Service Counts'!R75</f>
        <v>10062.15</v>
      </c>
      <c r="D74" s="56"/>
      <c r="E74" s="63">
        <f>+E30+E49+E66+E71</f>
        <v>141798.30000000002</v>
      </c>
      <c r="G74" s="63">
        <f>+G30+G49+G66+G71</f>
        <v>179637.03905317394</v>
      </c>
      <c r="J74" s="63">
        <f>+J30+J49+J66+J71</f>
        <v>141798.30000000002</v>
      </c>
    </row>
    <row r="75" spans="1:12">
      <c r="C75" s="122"/>
      <c r="D75" s="56"/>
    </row>
    <row r="76" spans="1:12">
      <c r="A76" t="s">
        <v>388</v>
      </c>
      <c r="C76" s="122"/>
      <c r="D76" s="56"/>
      <c r="G76" s="63">
        <f>+G74-E74</f>
        <v>37838.739053173922</v>
      </c>
      <c r="J76" s="63">
        <f>+J74-E74</f>
        <v>0</v>
      </c>
      <c r="K76" s="142">
        <f>ROUND((+J76/E74),4)</f>
        <v>0</v>
      </c>
    </row>
    <row r="77" spans="1:12">
      <c r="C77" s="122"/>
      <c r="D77" s="56"/>
    </row>
    <row r="78" spans="1:12">
      <c r="C78" s="122"/>
      <c r="D78" s="56"/>
      <c r="E78" s="6"/>
      <c r="K78" s="141">
        <f>+K76</f>
        <v>0</v>
      </c>
    </row>
    <row r="79" spans="1:12">
      <c r="C79" s="122"/>
      <c r="D79" s="56"/>
      <c r="E79" s="6"/>
    </row>
    <row r="80" spans="1:12">
      <c r="C80" s="122"/>
      <c r="D80" s="56"/>
      <c r="E80" s="82"/>
    </row>
    <row r="81" spans="3:5">
      <c r="C81" s="122"/>
      <c r="D81" s="56"/>
      <c r="E81" s="18"/>
    </row>
    <row r="82" spans="3:5">
      <c r="C82" s="122"/>
      <c r="D82" s="56"/>
      <c r="E82" s="56"/>
    </row>
    <row r="83" spans="3:5">
      <c r="C83" s="122"/>
      <c r="D83" s="56"/>
      <c r="E83" s="10"/>
    </row>
    <row r="84" spans="3:5">
      <c r="C84" s="122"/>
      <c r="D84" s="56"/>
      <c r="E84" s="10"/>
    </row>
    <row r="85" spans="3:5">
      <c r="C85" s="122"/>
      <c r="D85" s="56"/>
    </row>
    <row r="86" spans="3:5">
      <c r="D86" s="56"/>
    </row>
  </sheetData>
  <pageMargins left="0.25" right="0.25" top="0.75" bottom="0.25" header="0.5" footer="0.5"/>
  <pageSetup scale="75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6"/>
  <sheetViews>
    <sheetView topLeftCell="A4" workbookViewId="0">
      <selection activeCell="F5" sqref="F5"/>
    </sheetView>
  </sheetViews>
  <sheetFormatPr defaultRowHeight="12.75"/>
  <cols>
    <col min="2" max="2" width="11.7109375" customWidth="1"/>
    <col min="5" max="5" width="11.28515625" customWidth="1"/>
    <col min="7" max="7" width="13" customWidth="1"/>
    <col min="8" max="8" width="10.85546875" customWidth="1"/>
    <col min="10" max="10" width="11.7109375" customWidth="1"/>
  </cols>
  <sheetData>
    <row r="1" spans="1:14">
      <c r="A1" t="s">
        <v>0</v>
      </c>
      <c r="G1" t="s">
        <v>462</v>
      </c>
      <c r="J1" t="s">
        <v>461</v>
      </c>
    </row>
    <row r="2" spans="1:14">
      <c r="A2" t="s">
        <v>467</v>
      </c>
      <c r="G2" s="10">
        <f>+H2/E74</f>
        <v>-0.13350184095018788</v>
      </c>
      <c r="H2" s="140">
        <f>+'Lurito Old-Okanogan'!E10</f>
        <v>-59626.938320432178</v>
      </c>
      <c r="I2" t="s">
        <v>448</v>
      </c>
      <c r="J2" s="63">
        <f>+J76</f>
        <v>0</v>
      </c>
      <c r="K2" s="139">
        <f>+J2/E74</f>
        <v>0</v>
      </c>
      <c r="L2" s="138">
        <v>0</v>
      </c>
    </row>
    <row r="3" spans="1:14">
      <c r="A3" s="1" t="str">
        <f>+'Priceout-Douglas'!A3</f>
        <v>12 Months Ended September 30, 2022</v>
      </c>
      <c r="H3" s="10">
        <f>+G2</f>
        <v>-0.13350184095018788</v>
      </c>
      <c r="I3" t="s">
        <v>459</v>
      </c>
    </row>
    <row r="4" spans="1:14">
      <c r="E4" s="643" t="s">
        <v>1343</v>
      </c>
      <c r="F4" s="643" t="s">
        <v>689</v>
      </c>
      <c r="H4" s="10">
        <f>+G2</f>
        <v>-0.13350184095018788</v>
      </c>
      <c r="I4" t="s">
        <v>458</v>
      </c>
    </row>
    <row r="6" spans="1:14" ht="13.5" thickBot="1">
      <c r="A6" s="137" t="s">
        <v>466</v>
      </c>
      <c r="B6" s="5"/>
      <c r="C6" s="5"/>
    </row>
    <row r="7" spans="1:14">
      <c r="F7" s="136"/>
      <c r="G7" s="135" t="s">
        <v>454</v>
      </c>
      <c r="H7" s="134"/>
      <c r="I7" s="136"/>
      <c r="J7" s="135" t="s">
        <v>98</v>
      </c>
      <c r="K7" s="134"/>
    </row>
    <row r="8" spans="1:14">
      <c r="C8" s="2" t="s">
        <v>456</v>
      </c>
      <c r="D8" s="93" t="s">
        <v>455</v>
      </c>
      <c r="E8" s="93" t="s">
        <v>452</v>
      </c>
      <c r="F8" s="133" t="s">
        <v>454</v>
      </c>
      <c r="G8" s="93" t="s">
        <v>452</v>
      </c>
      <c r="H8" s="132" t="s">
        <v>451</v>
      </c>
      <c r="I8" s="133" t="s">
        <v>453</v>
      </c>
      <c r="J8" s="93" t="s">
        <v>452</v>
      </c>
      <c r="K8" s="132" t="s">
        <v>451</v>
      </c>
    </row>
    <row r="9" spans="1:14" ht="13.5" thickBot="1">
      <c r="A9" s="5" t="s">
        <v>450</v>
      </c>
      <c r="B9" s="5"/>
      <c r="C9" s="20" t="s">
        <v>198</v>
      </c>
      <c r="D9" s="131" t="s">
        <v>99</v>
      </c>
      <c r="E9" s="131" t="s">
        <v>2</v>
      </c>
      <c r="F9" s="130" t="s">
        <v>449</v>
      </c>
      <c r="G9" s="20" t="s">
        <v>2</v>
      </c>
      <c r="H9" s="129" t="s">
        <v>448</v>
      </c>
      <c r="I9" s="130" t="s">
        <v>449</v>
      </c>
      <c r="J9" s="20" t="s">
        <v>2</v>
      </c>
      <c r="K9" s="129" t="s">
        <v>448</v>
      </c>
    </row>
    <row r="10" spans="1:14">
      <c r="A10" t="s">
        <v>447</v>
      </c>
    </row>
    <row r="11" spans="1:14">
      <c r="A11" t="s">
        <v>446</v>
      </c>
      <c r="C11" s="122">
        <f>+'Service Counts'!AA10</f>
        <v>0</v>
      </c>
      <c r="D11" s="63">
        <f>+'Service Counts'!Y10</f>
        <v>13.65</v>
      </c>
      <c r="E11" s="56">
        <f t="shared" ref="E11:E29" si="0">+C11*D11</f>
        <v>0</v>
      </c>
      <c r="F11" s="63">
        <f t="shared" ref="F11:F29" si="1">+D11*(1+$H$4)</f>
        <v>11.827699871029935</v>
      </c>
      <c r="G11" s="63">
        <f t="shared" ref="G11:G29" si="2">+C11*F11</f>
        <v>0</v>
      </c>
      <c r="H11" s="10">
        <f t="shared" ref="H11:H29" si="3">+IF(C11=0,0,(G11-E11)/E11)</f>
        <v>0</v>
      </c>
      <c r="I11" s="143">
        <v>13.65</v>
      </c>
      <c r="J11" s="73">
        <f t="shared" ref="J11:J29" si="4">+C11*I11</f>
        <v>0</v>
      </c>
      <c r="K11" s="10">
        <f t="shared" ref="K11:K29" si="5">+IF(C11=0,0,(J11-E11)/E11)</f>
        <v>0</v>
      </c>
      <c r="L11" s="63">
        <f t="shared" ref="L11:L29" si="6">+D11*(1+$L$2)</f>
        <v>13.65</v>
      </c>
    </row>
    <row r="12" spans="1:14">
      <c r="A12" t="s">
        <v>445</v>
      </c>
      <c r="C12" s="122">
        <f>+'Service Counts'!AA11</f>
        <v>0</v>
      </c>
      <c r="D12" s="63">
        <f>+'Service Counts'!Y11</f>
        <v>8.75</v>
      </c>
      <c r="E12" s="56">
        <f t="shared" si="0"/>
        <v>0</v>
      </c>
      <c r="F12" s="63">
        <f t="shared" si="1"/>
        <v>7.5818588916858554</v>
      </c>
      <c r="G12" s="63">
        <f t="shared" si="2"/>
        <v>0</v>
      </c>
      <c r="H12" s="10">
        <f t="shared" si="3"/>
        <v>0</v>
      </c>
      <c r="I12" s="143">
        <v>8.75</v>
      </c>
      <c r="J12" s="73">
        <f t="shared" si="4"/>
        <v>0</v>
      </c>
      <c r="K12" s="10">
        <f t="shared" si="5"/>
        <v>0</v>
      </c>
      <c r="L12" s="63">
        <f t="shared" si="6"/>
        <v>8.75</v>
      </c>
    </row>
    <row r="13" spans="1:14">
      <c r="A13" t="s">
        <v>444</v>
      </c>
      <c r="C13" s="122">
        <f>+'Service Counts'!AA12</f>
        <v>0</v>
      </c>
      <c r="D13" s="63">
        <f>+'Service Counts'!Y12</f>
        <v>12.6</v>
      </c>
      <c r="E13" s="6">
        <f t="shared" si="0"/>
        <v>0</v>
      </c>
      <c r="F13" s="63">
        <f t="shared" si="1"/>
        <v>10.917876804027632</v>
      </c>
      <c r="G13" s="53">
        <f t="shared" si="2"/>
        <v>0</v>
      </c>
      <c r="H13" s="10">
        <f t="shared" si="3"/>
        <v>0</v>
      </c>
      <c r="I13" s="143">
        <v>12.6</v>
      </c>
      <c r="J13" s="53">
        <f t="shared" si="4"/>
        <v>0</v>
      </c>
      <c r="K13" s="10">
        <f t="shared" si="5"/>
        <v>0</v>
      </c>
      <c r="L13" s="63">
        <f t="shared" si="6"/>
        <v>12.6</v>
      </c>
    </row>
    <row r="14" spans="1:14">
      <c r="A14" t="s">
        <v>443</v>
      </c>
      <c r="C14" s="122">
        <f>+'Service Counts'!AA13</f>
        <v>0</v>
      </c>
      <c r="D14" s="63">
        <f>+'Service Counts'!Y13</f>
        <v>16.45</v>
      </c>
      <c r="E14" s="6">
        <f t="shared" si="0"/>
        <v>0</v>
      </c>
      <c r="F14" s="63">
        <f t="shared" si="1"/>
        <v>14.253894716369409</v>
      </c>
      <c r="G14" s="53">
        <f t="shared" si="2"/>
        <v>0</v>
      </c>
      <c r="H14" s="10">
        <f t="shared" si="3"/>
        <v>0</v>
      </c>
      <c r="I14" s="143">
        <v>16.45</v>
      </c>
      <c r="J14" s="53">
        <f t="shared" si="4"/>
        <v>0</v>
      </c>
      <c r="K14" s="10">
        <f t="shared" si="5"/>
        <v>0</v>
      </c>
      <c r="L14" s="63">
        <f t="shared" si="6"/>
        <v>16.45</v>
      </c>
    </row>
    <row r="15" spans="1:14">
      <c r="A15" t="s">
        <v>442</v>
      </c>
      <c r="C15" s="122">
        <f>+'Service Counts'!AA14</f>
        <v>560.38036951501158</v>
      </c>
      <c r="D15" s="63">
        <f>+'Service Counts'!Y14</f>
        <v>16.350000000000001</v>
      </c>
      <c r="E15" s="6">
        <f t="shared" si="0"/>
        <v>9162.2190415704408</v>
      </c>
      <c r="F15" s="63">
        <f t="shared" si="1"/>
        <v>14.167244900464429</v>
      </c>
      <c r="G15" s="53">
        <f t="shared" si="2"/>
        <v>7939.0459323319201</v>
      </c>
      <c r="H15" s="10">
        <f t="shared" si="3"/>
        <v>-0.13350184095018797</v>
      </c>
      <c r="I15" s="143">
        <v>16.350000000000001</v>
      </c>
      <c r="J15" s="53">
        <f t="shared" si="4"/>
        <v>9162.2190415704408</v>
      </c>
      <c r="K15" s="10">
        <f t="shared" si="5"/>
        <v>0</v>
      </c>
      <c r="L15" s="63">
        <f t="shared" si="6"/>
        <v>16.350000000000001</v>
      </c>
      <c r="N15" s="63"/>
    </row>
    <row r="16" spans="1:14">
      <c r="A16" t="s">
        <v>441</v>
      </c>
      <c r="C16" s="122">
        <f>+'Service Counts'!AA15</f>
        <v>913.38036951501158</v>
      </c>
      <c r="D16" s="63">
        <f>+'Service Counts'!Y15</f>
        <v>20.55</v>
      </c>
      <c r="E16" s="6">
        <f t="shared" si="0"/>
        <v>18769.966593533489</v>
      </c>
      <c r="F16" s="63">
        <f t="shared" si="1"/>
        <v>17.806537168473639</v>
      </c>
      <c r="G16" s="53">
        <f t="shared" si="2"/>
        <v>16264.14149872324</v>
      </c>
      <c r="H16" s="10">
        <f t="shared" si="3"/>
        <v>-0.13350184095018794</v>
      </c>
      <c r="I16" s="143">
        <v>20.55</v>
      </c>
      <c r="J16" s="53">
        <f t="shared" si="4"/>
        <v>18769.966593533489</v>
      </c>
      <c r="K16" s="10">
        <f t="shared" si="5"/>
        <v>0</v>
      </c>
      <c r="L16" s="63">
        <f t="shared" si="6"/>
        <v>20.55</v>
      </c>
      <c r="N16" s="63"/>
    </row>
    <row r="17" spans="1:14">
      <c r="A17" t="s">
        <v>440</v>
      </c>
      <c r="C17" s="122">
        <f>+'Service Counts'!AA16</f>
        <v>129.25461893764435</v>
      </c>
      <c r="D17" s="63">
        <f>+'Service Counts'!Y16</f>
        <v>24.25</v>
      </c>
      <c r="E17" s="6">
        <f t="shared" si="0"/>
        <v>3134.4245092378756</v>
      </c>
      <c r="F17" s="63">
        <f t="shared" si="1"/>
        <v>21.012580356957944</v>
      </c>
      <c r="G17" s="53">
        <f t="shared" si="2"/>
        <v>2715.9730669352298</v>
      </c>
      <c r="H17" s="10">
        <f t="shared" si="3"/>
        <v>-0.13350184095018794</v>
      </c>
      <c r="I17" s="143">
        <v>24.25</v>
      </c>
      <c r="J17" s="53">
        <f t="shared" si="4"/>
        <v>3134.4245092378756</v>
      </c>
      <c r="K17" s="10">
        <f t="shared" si="5"/>
        <v>0</v>
      </c>
      <c r="L17" s="63">
        <f t="shared" si="6"/>
        <v>24.25</v>
      </c>
      <c r="N17" s="63"/>
    </row>
    <row r="18" spans="1:14">
      <c r="A18" t="s">
        <v>439</v>
      </c>
      <c r="C18" s="122">
        <f>+'Service Counts'!AA17</f>
        <v>58.009237875288683</v>
      </c>
      <c r="D18" s="63">
        <f>+'Service Counts'!Y17</f>
        <v>27.75</v>
      </c>
      <c r="E18" s="6">
        <f t="shared" si="0"/>
        <v>1609.7563510392611</v>
      </c>
      <c r="F18" s="63">
        <f t="shared" si="1"/>
        <v>24.045323913632284</v>
      </c>
      <c r="G18" s="53">
        <f t="shared" si="2"/>
        <v>1394.8509146942627</v>
      </c>
      <c r="H18" s="10">
        <f t="shared" si="3"/>
        <v>-0.13350184095018799</v>
      </c>
      <c r="I18" s="143">
        <v>27.75</v>
      </c>
      <c r="J18" s="53">
        <f t="shared" si="4"/>
        <v>1609.7563510392611</v>
      </c>
      <c r="K18" s="10">
        <f t="shared" si="5"/>
        <v>0</v>
      </c>
      <c r="L18" s="63">
        <f t="shared" si="6"/>
        <v>27.75</v>
      </c>
      <c r="N18" s="63"/>
    </row>
    <row r="19" spans="1:14">
      <c r="A19" t="s">
        <v>438</v>
      </c>
      <c r="C19" s="122">
        <f>+'Service Counts'!AA18</f>
        <v>12.009237875288683</v>
      </c>
      <c r="D19" s="63">
        <f>+'Service Counts'!Y18</f>
        <v>33.25</v>
      </c>
      <c r="E19" s="6">
        <f t="shared" si="0"/>
        <v>399.30715935334871</v>
      </c>
      <c r="F19" s="63">
        <f t="shared" si="1"/>
        <v>28.811063788406251</v>
      </c>
      <c r="G19" s="53">
        <f t="shared" si="2"/>
        <v>345.99891847508661</v>
      </c>
      <c r="H19" s="10">
        <f t="shared" si="3"/>
        <v>-0.13350184095018791</v>
      </c>
      <c r="I19" s="143">
        <v>33.25</v>
      </c>
      <c r="J19" s="53">
        <f t="shared" si="4"/>
        <v>399.30715935334871</v>
      </c>
      <c r="K19" s="10">
        <f t="shared" si="5"/>
        <v>0</v>
      </c>
      <c r="L19" s="63">
        <f t="shared" si="6"/>
        <v>33.25</v>
      </c>
      <c r="N19" s="63"/>
    </row>
    <row r="20" spans="1:14">
      <c r="A20" t="s">
        <v>437</v>
      </c>
      <c r="C20" s="122">
        <f>+'Service Counts'!AA19</f>
        <v>0</v>
      </c>
      <c r="D20" s="63">
        <f>+'Service Counts'!Y19</f>
        <v>36.85</v>
      </c>
      <c r="E20" s="6">
        <f t="shared" si="0"/>
        <v>0</v>
      </c>
      <c r="F20" s="63">
        <f t="shared" si="1"/>
        <v>31.930457160985576</v>
      </c>
      <c r="G20" s="53">
        <f t="shared" si="2"/>
        <v>0</v>
      </c>
      <c r="H20" s="10">
        <f t="shared" si="3"/>
        <v>0</v>
      </c>
      <c r="I20" s="143">
        <v>36.85</v>
      </c>
      <c r="J20" s="53">
        <f t="shared" si="4"/>
        <v>0</v>
      </c>
      <c r="K20" s="10">
        <f t="shared" si="5"/>
        <v>0</v>
      </c>
      <c r="L20" s="63">
        <f t="shared" si="6"/>
        <v>36.85</v>
      </c>
      <c r="N20" s="63"/>
    </row>
    <row r="21" spans="1:14">
      <c r="A21" t="s">
        <v>434</v>
      </c>
      <c r="C21" s="122">
        <f>+'Service Counts'!AA22</f>
        <v>0</v>
      </c>
      <c r="D21" s="63">
        <f>+'Service Counts'!Y22</f>
        <v>0</v>
      </c>
      <c r="E21" s="6">
        <f t="shared" si="0"/>
        <v>0</v>
      </c>
      <c r="F21" s="63">
        <f t="shared" si="1"/>
        <v>0</v>
      </c>
      <c r="G21" s="53">
        <f t="shared" si="2"/>
        <v>0</v>
      </c>
      <c r="H21" s="10">
        <f t="shared" si="3"/>
        <v>0</v>
      </c>
      <c r="I21" s="143">
        <f>+L21</f>
        <v>0</v>
      </c>
      <c r="J21" s="53">
        <f t="shared" si="4"/>
        <v>0</v>
      </c>
      <c r="K21" s="10">
        <f t="shared" si="5"/>
        <v>0</v>
      </c>
      <c r="L21" s="63">
        <f t="shared" si="6"/>
        <v>0</v>
      </c>
    </row>
    <row r="22" spans="1:14">
      <c r="A22" t="s">
        <v>433</v>
      </c>
      <c r="C22" s="122">
        <f>+'Service Counts'!AA23</f>
        <v>0</v>
      </c>
      <c r="D22" s="63">
        <f>+'Service Counts'!Y23</f>
        <v>0</v>
      </c>
      <c r="E22" s="6">
        <f t="shared" si="0"/>
        <v>0</v>
      </c>
      <c r="F22" s="63">
        <f t="shared" si="1"/>
        <v>0</v>
      </c>
      <c r="G22" s="53">
        <f t="shared" si="2"/>
        <v>0</v>
      </c>
      <c r="H22" s="10">
        <f t="shared" si="3"/>
        <v>0</v>
      </c>
      <c r="I22" s="143">
        <f>+L22</f>
        <v>0</v>
      </c>
      <c r="J22" s="53">
        <f t="shared" si="4"/>
        <v>0</v>
      </c>
      <c r="K22" s="10">
        <f t="shared" si="5"/>
        <v>0</v>
      </c>
      <c r="L22" s="63">
        <f t="shared" si="6"/>
        <v>0</v>
      </c>
    </row>
    <row r="23" spans="1:14">
      <c r="A23" t="s">
        <v>432</v>
      </c>
      <c r="C23" s="122">
        <f>+'Service Counts'!AA24</f>
        <v>0</v>
      </c>
      <c r="D23" s="63">
        <f>+'Service Counts'!Y24</f>
        <v>0</v>
      </c>
      <c r="E23" s="6">
        <f t="shared" si="0"/>
        <v>0</v>
      </c>
      <c r="F23" s="63">
        <f t="shared" si="1"/>
        <v>0</v>
      </c>
      <c r="G23" s="53">
        <f t="shared" si="2"/>
        <v>0</v>
      </c>
      <c r="H23" s="10">
        <f t="shared" si="3"/>
        <v>0</v>
      </c>
      <c r="I23" s="143">
        <f>+L23</f>
        <v>0</v>
      </c>
      <c r="J23" s="53">
        <f t="shared" si="4"/>
        <v>0</v>
      </c>
      <c r="K23" s="10">
        <f t="shared" si="5"/>
        <v>0</v>
      </c>
      <c r="L23" s="63">
        <f t="shared" si="6"/>
        <v>0</v>
      </c>
    </row>
    <row r="24" spans="1:14">
      <c r="A24" t="s">
        <v>431</v>
      </c>
      <c r="C24" s="122">
        <f>+'Service Counts'!AA26</f>
        <v>217</v>
      </c>
      <c r="D24" s="63">
        <f>+'Service Counts'!Y26</f>
        <v>3.95</v>
      </c>
      <c r="E24" s="6">
        <f t="shared" si="0"/>
        <v>857.15000000000009</v>
      </c>
      <c r="F24" s="63">
        <f t="shared" si="1"/>
        <v>3.4226677282467577</v>
      </c>
      <c r="G24" s="53">
        <f t="shared" si="2"/>
        <v>742.71889702954638</v>
      </c>
      <c r="H24" s="10">
        <f t="shared" si="3"/>
        <v>-0.13350184095018805</v>
      </c>
      <c r="I24" s="143">
        <v>3.95</v>
      </c>
      <c r="J24" s="53">
        <f t="shared" si="4"/>
        <v>857.15000000000009</v>
      </c>
      <c r="K24" s="10">
        <f t="shared" si="5"/>
        <v>0</v>
      </c>
      <c r="L24" s="63">
        <f t="shared" si="6"/>
        <v>3.95</v>
      </c>
    </row>
    <row r="25" spans="1:14">
      <c r="A25" t="s">
        <v>430</v>
      </c>
      <c r="C25" s="122">
        <f>+'Service Counts'!AA27</f>
        <v>0</v>
      </c>
      <c r="D25" s="63">
        <f>+'Service Counts'!Y27</f>
        <v>2.95</v>
      </c>
      <c r="E25" s="6">
        <f t="shared" si="0"/>
        <v>0</v>
      </c>
      <c r="F25" s="63">
        <f t="shared" si="1"/>
        <v>2.5561695691969457</v>
      </c>
      <c r="G25" s="53">
        <f t="shared" si="2"/>
        <v>0</v>
      </c>
      <c r="H25" s="10">
        <f t="shared" si="3"/>
        <v>0</v>
      </c>
      <c r="I25" s="143">
        <v>2.95</v>
      </c>
      <c r="J25" s="53">
        <f t="shared" si="4"/>
        <v>0</v>
      </c>
      <c r="K25" s="10">
        <f t="shared" si="5"/>
        <v>0</v>
      </c>
      <c r="L25" s="63">
        <f t="shared" si="6"/>
        <v>2.95</v>
      </c>
    </row>
    <row r="26" spans="1:14">
      <c r="A26" t="s">
        <v>429</v>
      </c>
      <c r="C26" s="122">
        <f>+'Service Counts'!AA28</f>
        <v>0</v>
      </c>
      <c r="D26" s="63">
        <f>+'Service Counts'!Y28</f>
        <v>1.65</v>
      </c>
      <c r="E26" s="6">
        <f t="shared" si="0"/>
        <v>0</v>
      </c>
      <c r="F26" s="63">
        <f t="shared" si="1"/>
        <v>1.42972196243219</v>
      </c>
      <c r="G26" s="53">
        <f t="shared" si="2"/>
        <v>0</v>
      </c>
      <c r="H26" s="10">
        <f t="shared" si="3"/>
        <v>0</v>
      </c>
      <c r="I26" s="143">
        <v>1.65</v>
      </c>
      <c r="J26" s="53">
        <f t="shared" si="4"/>
        <v>0</v>
      </c>
      <c r="K26" s="10">
        <f t="shared" si="5"/>
        <v>0</v>
      </c>
      <c r="L26" s="63">
        <f t="shared" si="6"/>
        <v>1.65</v>
      </c>
    </row>
    <row r="27" spans="1:14">
      <c r="A27" t="s">
        <v>428</v>
      </c>
      <c r="C27" s="122">
        <f>+'Service Counts'!AA29</f>
        <v>0</v>
      </c>
      <c r="D27" s="63">
        <f>+'Service Counts'!Y29</f>
        <v>10.55</v>
      </c>
      <c r="E27" s="6">
        <f t="shared" si="0"/>
        <v>0</v>
      </c>
      <c r="F27" s="63">
        <f t="shared" si="1"/>
        <v>9.1415555779755184</v>
      </c>
      <c r="G27" s="53">
        <f t="shared" si="2"/>
        <v>0</v>
      </c>
      <c r="H27" s="10">
        <f t="shared" si="3"/>
        <v>0</v>
      </c>
      <c r="I27" s="143">
        <v>10.55</v>
      </c>
      <c r="J27" s="53">
        <f t="shared" si="4"/>
        <v>0</v>
      </c>
      <c r="K27" s="10">
        <f t="shared" si="5"/>
        <v>0</v>
      </c>
      <c r="L27" s="63">
        <f t="shared" si="6"/>
        <v>10.55</v>
      </c>
    </row>
    <row r="28" spans="1:14">
      <c r="A28" t="s">
        <v>427</v>
      </c>
      <c r="C28" s="122">
        <f>+'Service Counts'!AA30</f>
        <v>1135</v>
      </c>
      <c r="D28" s="63">
        <f>+'Service Counts'!Y30</f>
        <v>19.600000000000001</v>
      </c>
      <c r="E28" s="6">
        <f t="shared" si="0"/>
        <v>22246</v>
      </c>
      <c r="F28" s="63">
        <f t="shared" si="1"/>
        <v>16.98336391737632</v>
      </c>
      <c r="G28" s="53">
        <f t="shared" si="2"/>
        <v>19276.118046222124</v>
      </c>
      <c r="H28" s="10">
        <f t="shared" si="3"/>
        <v>-0.13350184095018774</v>
      </c>
      <c r="I28" s="143">
        <v>19.600000000000001</v>
      </c>
      <c r="J28" s="53">
        <f t="shared" si="4"/>
        <v>22246</v>
      </c>
      <c r="K28" s="10">
        <f t="shared" si="5"/>
        <v>0</v>
      </c>
      <c r="L28" s="63">
        <f t="shared" si="6"/>
        <v>19.600000000000001</v>
      </c>
    </row>
    <row r="29" spans="1:14">
      <c r="A29" t="s">
        <v>426</v>
      </c>
      <c r="C29" s="122">
        <f>+'Service Counts'!AA31</f>
        <v>0</v>
      </c>
      <c r="D29" s="63">
        <f>+'Service Counts'!Y31</f>
        <v>12.2</v>
      </c>
      <c r="E29" s="43">
        <f t="shared" si="0"/>
        <v>0</v>
      </c>
      <c r="F29" s="63">
        <f t="shared" si="1"/>
        <v>10.571277540407706</v>
      </c>
      <c r="G29" s="57">
        <f t="shared" si="2"/>
        <v>0</v>
      </c>
      <c r="H29" s="10">
        <f t="shared" si="3"/>
        <v>0</v>
      </c>
      <c r="I29" s="143">
        <v>12.2</v>
      </c>
      <c r="J29" s="57">
        <f t="shared" si="4"/>
        <v>0</v>
      </c>
      <c r="K29" s="10">
        <f t="shared" si="5"/>
        <v>0</v>
      </c>
      <c r="L29" s="63">
        <f t="shared" si="6"/>
        <v>12.2</v>
      </c>
    </row>
    <row r="30" spans="1:14">
      <c r="C30" s="122"/>
      <c r="D30" s="63"/>
      <c r="E30" s="56">
        <f>SUM(E11:E29)</f>
        <v>56178.82365473442</v>
      </c>
      <c r="G30" s="56">
        <f>SUM(G11:G29)</f>
        <v>48678.847274411411</v>
      </c>
      <c r="I30" s="127"/>
      <c r="J30" s="56">
        <f>SUM(J11:J29)</f>
        <v>56178.82365473442</v>
      </c>
      <c r="K30" s="125">
        <f>(+J30-E30)/E30</f>
        <v>0</v>
      </c>
    </row>
    <row r="31" spans="1:14">
      <c r="A31" t="s">
        <v>425</v>
      </c>
      <c r="C31" s="122"/>
      <c r="D31" s="63"/>
      <c r="I31" s="127"/>
      <c r="J31" s="53"/>
    </row>
    <row r="32" spans="1:14">
      <c r="A32" t="s">
        <v>424</v>
      </c>
      <c r="C32" s="122">
        <f>+'Service Counts'!AA34</f>
        <v>1628</v>
      </c>
      <c r="D32" s="63">
        <f>+'Service Counts'!Y34</f>
        <v>15.25</v>
      </c>
      <c r="E32" s="6">
        <f t="shared" ref="E32:E48" si="7">+C32*D32</f>
        <v>24827</v>
      </c>
      <c r="F32" s="63">
        <f t="shared" ref="F32:F48" si="8">+D32*(1+$H$4)</f>
        <v>13.214096925509635</v>
      </c>
      <c r="G32" s="53">
        <f t="shared" ref="G32:G48" si="9">+C32*F32</f>
        <v>21512.549794729686</v>
      </c>
      <c r="H32" s="10">
        <f t="shared" ref="H32:H48" si="10">+IF(C32=0,0,(G32-E32)/E32)</f>
        <v>-0.13350184095018786</v>
      </c>
      <c r="I32" s="143">
        <v>15.25</v>
      </c>
      <c r="J32" s="53">
        <f t="shared" ref="J32:J48" si="11">+C32*I32</f>
        <v>24827</v>
      </c>
      <c r="K32" s="10">
        <f t="shared" ref="K32:K48" si="12">+IF(C32=0,0,(J32-E32)/E32)</f>
        <v>0</v>
      </c>
      <c r="L32" s="63">
        <f t="shared" ref="L32:L48" si="13">+D32*(1+$L$2)</f>
        <v>15.25</v>
      </c>
    </row>
    <row r="33" spans="1:12">
      <c r="A33" s="643" t="s">
        <v>1417</v>
      </c>
      <c r="C33" s="122">
        <f>+'Service Counts'!AA35</f>
        <v>0</v>
      </c>
      <c r="D33" s="63">
        <f>+'Service Counts'!Y35</f>
        <v>0</v>
      </c>
      <c r="E33" s="6">
        <f t="shared" ref="E33" si="14">+C33*D33</f>
        <v>0</v>
      </c>
      <c r="F33" s="63">
        <f t="shared" ref="F33" si="15">+D33*(1+$H$4)</f>
        <v>0</v>
      </c>
      <c r="G33" s="53">
        <f t="shared" ref="G33" si="16">+C33*F33</f>
        <v>0</v>
      </c>
      <c r="H33" s="10">
        <f t="shared" ref="H33" si="17">+IF(C33=0,0,(G33-E33)/E33)</f>
        <v>0</v>
      </c>
      <c r="I33" s="143">
        <v>0</v>
      </c>
      <c r="J33" s="53">
        <f t="shared" ref="J33" si="18">+C33*I33</f>
        <v>0</v>
      </c>
      <c r="K33" s="10">
        <f t="shared" ref="K33" si="19">+IF(C33=0,0,(J33-E33)/E33)</f>
        <v>0</v>
      </c>
      <c r="L33" s="63">
        <f t="shared" ref="L33" si="20">+D33*(1+$L$2)</f>
        <v>0</v>
      </c>
    </row>
    <row r="34" spans="1:12">
      <c r="A34" t="s">
        <v>423</v>
      </c>
      <c r="C34" s="122">
        <f>+'Service Counts'!AA36</f>
        <v>0</v>
      </c>
      <c r="D34" s="63">
        <f>+'Service Counts'!Y36</f>
        <v>20.399999999999999</v>
      </c>
      <c r="E34" s="6">
        <f t="shared" si="7"/>
        <v>0</v>
      </c>
      <c r="F34" s="63">
        <f t="shared" si="8"/>
        <v>17.676562444616167</v>
      </c>
      <c r="G34" s="53">
        <f t="shared" si="9"/>
        <v>0</v>
      </c>
      <c r="H34" s="10">
        <f t="shared" si="10"/>
        <v>0</v>
      </c>
      <c r="I34" s="143">
        <v>20.399999999999999</v>
      </c>
      <c r="J34" s="53">
        <f t="shared" si="11"/>
        <v>0</v>
      </c>
      <c r="K34" s="10">
        <f t="shared" si="12"/>
        <v>0</v>
      </c>
      <c r="L34" s="63">
        <f t="shared" si="13"/>
        <v>20.399999999999999</v>
      </c>
    </row>
    <row r="35" spans="1:12">
      <c r="A35" t="s">
        <v>422</v>
      </c>
      <c r="C35" s="122">
        <f>+'Service Counts'!AA37</f>
        <v>2100</v>
      </c>
      <c r="D35" s="63">
        <f>+'Service Counts'!Y37</f>
        <v>23.3</v>
      </c>
      <c r="E35" s="6">
        <f t="shared" si="7"/>
        <v>48930</v>
      </c>
      <c r="F35" s="63">
        <f t="shared" si="8"/>
        <v>20.189407105860621</v>
      </c>
      <c r="G35" s="53">
        <f t="shared" si="9"/>
        <v>42397.7549223073</v>
      </c>
      <c r="H35" s="10">
        <f t="shared" si="10"/>
        <v>-0.13350184095018802</v>
      </c>
      <c r="I35" s="143">
        <v>23.3</v>
      </c>
      <c r="J35" s="53">
        <f t="shared" si="11"/>
        <v>48930</v>
      </c>
      <c r="K35" s="10">
        <f t="shared" si="12"/>
        <v>0</v>
      </c>
      <c r="L35" s="63">
        <f t="shared" si="13"/>
        <v>23.3</v>
      </c>
    </row>
    <row r="36" spans="1:12">
      <c r="A36" s="643" t="s">
        <v>1418</v>
      </c>
      <c r="C36" s="122">
        <f>+'Service Counts'!AA38</f>
        <v>0</v>
      </c>
      <c r="D36" s="63">
        <f>+'Service Counts'!Y38</f>
        <v>0</v>
      </c>
      <c r="E36" s="6">
        <f t="shared" ref="E36" si="21">+C36*D36</f>
        <v>0</v>
      </c>
      <c r="F36" s="63">
        <f t="shared" ref="F36" si="22">+D36*(1+$H$4)</f>
        <v>0</v>
      </c>
      <c r="G36" s="53">
        <f t="shared" ref="G36" si="23">+C36*F36</f>
        <v>0</v>
      </c>
      <c r="H36" s="10">
        <f t="shared" ref="H36" si="24">+IF(C36=0,0,(G36-E36)/E36)</f>
        <v>0</v>
      </c>
      <c r="I36" s="143">
        <v>0</v>
      </c>
      <c r="J36" s="53">
        <f t="shared" ref="J36" si="25">+C36*I36</f>
        <v>0</v>
      </c>
      <c r="K36" s="10">
        <f t="shared" ref="K36" si="26">+IF(C36=0,0,(J36-E36)/E36)</f>
        <v>0</v>
      </c>
      <c r="L36" s="63">
        <f t="shared" ref="L36" si="27">+D36*(1+$L$2)</f>
        <v>0</v>
      </c>
    </row>
    <row r="37" spans="1:12">
      <c r="A37" t="s">
        <v>421</v>
      </c>
      <c r="C37" s="122">
        <f>+'Service Counts'!AA39</f>
        <v>0</v>
      </c>
      <c r="D37" s="63">
        <f>+'Service Counts'!Y39</f>
        <v>30.5</v>
      </c>
      <c r="E37" s="6">
        <f t="shared" si="7"/>
        <v>0</v>
      </c>
      <c r="F37" s="63">
        <f t="shared" si="8"/>
        <v>26.42819385101927</v>
      </c>
      <c r="G37" s="53">
        <f t="shared" si="9"/>
        <v>0</v>
      </c>
      <c r="H37" s="10">
        <f t="shared" si="10"/>
        <v>0</v>
      </c>
      <c r="I37" s="143">
        <v>30.5</v>
      </c>
      <c r="J37" s="53">
        <f t="shared" si="11"/>
        <v>0</v>
      </c>
      <c r="K37" s="10">
        <f t="shared" si="12"/>
        <v>0</v>
      </c>
      <c r="L37" s="63">
        <f t="shared" si="13"/>
        <v>30.5</v>
      </c>
    </row>
    <row r="38" spans="1:12">
      <c r="A38" t="s">
        <v>420</v>
      </c>
      <c r="C38" s="122">
        <f>+'Service Counts'!AA40</f>
        <v>731</v>
      </c>
      <c r="D38" s="63">
        <f>+'Service Counts'!Y40</f>
        <v>38.950000000000003</v>
      </c>
      <c r="E38" s="6">
        <f t="shared" si="7"/>
        <v>28472.45</v>
      </c>
      <c r="F38" s="63">
        <f t="shared" si="8"/>
        <v>33.750103294990183</v>
      </c>
      <c r="G38" s="53">
        <f t="shared" si="9"/>
        <v>24671.325508637823</v>
      </c>
      <c r="H38" s="10">
        <f t="shared" si="10"/>
        <v>-0.13350184095018791</v>
      </c>
      <c r="I38" s="143">
        <v>38.950000000000003</v>
      </c>
      <c r="J38" s="53">
        <f t="shared" si="11"/>
        <v>28472.45</v>
      </c>
      <c r="K38" s="10">
        <f t="shared" si="12"/>
        <v>0</v>
      </c>
      <c r="L38" s="63">
        <f t="shared" si="13"/>
        <v>38.950000000000003</v>
      </c>
    </row>
    <row r="39" spans="1:12">
      <c r="A39" t="s">
        <v>419</v>
      </c>
      <c r="C39" s="122">
        <f>+'Service Counts'!AA41</f>
        <v>2878</v>
      </c>
      <c r="D39" s="63">
        <f>+'Service Counts'!Y41</f>
        <v>61.6</v>
      </c>
      <c r="E39" s="6">
        <f t="shared" si="7"/>
        <v>177284.80000000002</v>
      </c>
      <c r="F39" s="63">
        <f t="shared" si="8"/>
        <v>53.376286597468429</v>
      </c>
      <c r="G39" s="53">
        <f t="shared" si="9"/>
        <v>153616.95282751415</v>
      </c>
      <c r="H39" s="10">
        <f t="shared" si="10"/>
        <v>-0.13350184095018786</v>
      </c>
      <c r="I39" s="143">
        <v>61.6</v>
      </c>
      <c r="J39" s="53">
        <f t="shared" si="11"/>
        <v>177284.80000000002</v>
      </c>
      <c r="K39" s="10">
        <f t="shared" si="12"/>
        <v>0</v>
      </c>
      <c r="L39" s="63">
        <f t="shared" si="13"/>
        <v>61.6</v>
      </c>
    </row>
    <row r="40" spans="1:12">
      <c r="A40" t="s">
        <v>418</v>
      </c>
      <c r="C40" s="122">
        <f>+'Service Counts'!AA42</f>
        <v>0</v>
      </c>
      <c r="D40" s="63">
        <f>+'Service Counts'!Y42</f>
        <v>81.900000000000006</v>
      </c>
      <c r="E40" s="6">
        <f t="shared" si="7"/>
        <v>0</v>
      </c>
      <c r="F40" s="63">
        <f t="shared" si="8"/>
        <v>70.966199226179612</v>
      </c>
      <c r="G40" s="53">
        <f t="shared" si="9"/>
        <v>0</v>
      </c>
      <c r="H40" s="10">
        <f t="shared" si="10"/>
        <v>0</v>
      </c>
      <c r="I40" s="143">
        <v>81.900000000000006</v>
      </c>
      <c r="J40" s="53">
        <f t="shared" si="11"/>
        <v>0</v>
      </c>
      <c r="K40" s="10">
        <f t="shared" si="12"/>
        <v>0</v>
      </c>
      <c r="L40" s="63">
        <f t="shared" si="13"/>
        <v>81.900000000000006</v>
      </c>
    </row>
    <row r="41" spans="1:12">
      <c r="A41" t="s">
        <v>417</v>
      </c>
      <c r="C41" s="122">
        <f>+'Service Counts'!AA43</f>
        <v>2</v>
      </c>
      <c r="D41" s="63">
        <f>+'Service Counts'!Y43</f>
        <v>8.25</v>
      </c>
      <c r="E41" s="6">
        <f t="shared" si="7"/>
        <v>16.5</v>
      </c>
      <c r="F41" s="63">
        <f t="shared" si="8"/>
        <v>7.1486098121609496</v>
      </c>
      <c r="G41" s="53">
        <f t="shared" si="9"/>
        <v>14.297219624321899</v>
      </c>
      <c r="H41" s="10">
        <f t="shared" si="10"/>
        <v>-0.13350184095018794</v>
      </c>
      <c r="I41" s="143">
        <v>8.25</v>
      </c>
      <c r="J41" s="53">
        <f t="shared" si="11"/>
        <v>16.5</v>
      </c>
      <c r="K41" s="10">
        <f t="shared" si="12"/>
        <v>0</v>
      </c>
      <c r="L41" s="63">
        <f t="shared" si="13"/>
        <v>8.25</v>
      </c>
    </row>
    <row r="42" spans="1:12">
      <c r="A42" t="s">
        <v>416</v>
      </c>
      <c r="C42" s="122">
        <f>+'Service Counts'!AA44</f>
        <v>0</v>
      </c>
      <c r="D42" s="63">
        <f>+'Service Counts'!Y44</f>
        <v>10.9</v>
      </c>
      <c r="E42" s="6">
        <f t="shared" si="7"/>
        <v>0</v>
      </c>
      <c r="F42" s="63">
        <f t="shared" si="8"/>
        <v>9.4448299336429518</v>
      </c>
      <c r="G42" s="53">
        <f t="shared" si="9"/>
        <v>0</v>
      </c>
      <c r="H42" s="10">
        <f t="shared" si="10"/>
        <v>0</v>
      </c>
      <c r="I42" s="143">
        <v>11.75</v>
      </c>
      <c r="J42" s="53">
        <f t="shared" si="11"/>
        <v>0</v>
      </c>
      <c r="K42" s="10">
        <f t="shared" si="12"/>
        <v>0</v>
      </c>
      <c r="L42" s="63">
        <f t="shared" si="13"/>
        <v>10.9</v>
      </c>
    </row>
    <row r="43" spans="1:12">
      <c r="A43" t="s">
        <v>415</v>
      </c>
      <c r="C43" s="122">
        <f>+'Service Counts'!AA45</f>
        <v>5</v>
      </c>
      <c r="D43" s="63">
        <f>+'Service Counts'!Y45</f>
        <v>14.5</v>
      </c>
      <c r="E43" s="6">
        <f t="shared" si="7"/>
        <v>72.5</v>
      </c>
      <c r="F43" s="63">
        <f t="shared" si="8"/>
        <v>12.564223306222276</v>
      </c>
      <c r="G43" s="53">
        <f t="shared" si="9"/>
        <v>62.821116531111379</v>
      </c>
      <c r="H43" s="10">
        <f t="shared" si="10"/>
        <v>-0.13350184095018788</v>
      </c>
      <c r="I43" s="143">
        <v>14.5</v>
      </c>
      <c r="J43" s="53">
        <f t="shared" si="11"/>
        <v>72.5</v>
      </c>
      <c r="K43" s="10">
        <f t="shared" si="12"/>
        <v>0</v>
      </c>
      <c r="L43" s="63">
        <f t="shared" si="13"/>
        <v>14.5</v>
      </c>
    </row>
    <row r="44" spans="1:12">
      <c r="A44" t="s">
        <v>414</v>
      </c>
      <c r="C44" s="122">
        <f>+'Service Counts'!AA46</f>
        <v>0</v>
      </c>
      <c r="D44" s="63">
        <f>+'Service Counts'!Y46</f>
        <v>15.2</v>
      </c>
      <c r="E44" s="6">
        <f t="shared" si="7"/>
        <v>0</v>
      </c>
      <c r="F44" s="63">
        <f t="shared" si="8"/>
        <v>13.170772017557143</v>
      </c>
      <c r="G44" s="53">
        <f t="shared" si="9"/>
        <v>0</v>
      </c>
      <c r="H44" s="10">
        <f t="shared" si="10"/>
        <v>0</v>
      </c>
      <c r="I44" s="143">
        <v>16.350000000000001</v>
      </c>
      <c r="J44" s="53">
        <f t="shared" si="11"/>
        <v>0</v>
      </c>
      <c r="K44" s="10">
        <f t="shared" si="12"/>
        <v>0</v>
      </c>
      <c r="L44" s="63">
        <f t="shared" si="13"/>
        <v>15.2</v>
      </c>
    </row>
    <row r="45" spans="1:12">
      <c r="A45" t="s">
        <v>413</v>
      </c>
      <c r="C45" s="122">
        <f>+'Service Counts'!AA47</f>
        <v>3</v>
      </c>
      <c r="D45" s="63">
        <f>+'Service Counts'!Y47</f>
        <v>15.8</v>
      </c>
      <c r="E45" s="6">
        <f t="shared" si="7"/>
        <v>47.400000000000006</v>
      </c>
      <c r="F45" s="63">
        <f t="shared" si="8"/>
        <v>13.690670912987031</v>
      </c>
      <c r="G45" s="53">
        <f t="shared" si="9"/>
        <v>41.072012738961092</v>
      </c>
      <c r="H45" s="10">
        <f t="shared" si="10"/>
        <v>-0.13350184095018802</v>
      </c>
      <c r="I45" s="143">
        <v>15.8</v>
      </c>
      <c r="J45" s="53">
        <f t="shared" si="11"/>
        <v>47.400000000000006</v>
      </c>
      <c r="K45" s="10">
        <f t="shared" si="12"/>
        <v>0</v>
      </c>
      <c r="L45" s="63">
        <f t="shared" si="13"/>
        <v>15.8</v>
      </c>
    </row>
    <row r="46" spans="1:12">
      <c r="A46" t="s">
        <v>412</v>
      </c>
      <c r="C46" s="122">
        <f>+'Service Counts'!AA48</f>
        <v>3</v>
      </c>
      <c r="D46" s="63">
        <f>+'Service Counts'!Y48</f>
        <v>18.350000000000001</v>
      </c>
      <c r="E46" s="6">
        <f t="shared" si="7"/>
        <v>55.050000000000004</v>
      </c>
      <c r="F46" s="63">
        <f t="shared" si="8"/>
        <v>15.900241218564053</v>
      </c>
      <c r="G46" s="53">
        <f t="shared" si="9"/>
        <v>47.700723655692158</v>
      </c>
      <c r="H46" s="10">
        <f t="shared" si="10"/>
        <v>-0.13350184095018794</v>
      </c>
      <c r="I46" s="143">
        <v>18.350000000000001</v>
      </c>
      <c r="J46" s="53">
        <f t="shared" si="11"/>
        <v>55.050000000000004</v>
      </c>
      <c r="K46" s="10">
        <f t="shared" si="12"/>
        <v>0</v>
      </c>
      <c r="L46" s="63">
        <f t="shared" si="13"/>
        <v>18.350000000000001</v>
      </c>
    </row>
    <row r="47" spans="1:12">
      <c r="A47" t="s">
        <v>411</v>
      </c>
      <c r="C47" s="122">
        <f>+'Service Counts'!AA49</f>
        <v>0</v>
      </c>
      <c r="D47" s="63">
        <f>+'Service Counts'!Y49</f>
        <v>2.2999999999999998</v>
      </c>
      <c r="E47" s="6">
        <f t="shared" si="7"/>
        <v>0</v>
      </c>
      <c r="F47" s="63">
        <f t="shared" si="8"/>
        <v>1.9929457658145677</v>
      </c>
      <c r="G47" s="53">
        <f t="shared" si="9"/>
        <v>0</v>
      </c>
      <c r="H47" s="10">
        <f t="shared" si="10"/>
        <v>0</v>
      </c>
      <c r="I47" s="143">
        <v>2.2999999999999998</v>
      </c>
      <c r="J47" s="53">
        <f t="shared" si="11"/>
        <v>0</v>
      </c>
      <c r="K47" s="10">
        <f t="shared" si="12"/>
        <v>0</v>
      </c>
      <c r="L47" s="63">
        <f t="shared" si="13"/>
        <v>2.2999999999999998</v>
      </c>
    </row>
    <row r="48" spans="1:12">
      <c r="A48" t="s">
        <v>410</v>
      </c>
      <c r="C48" s="122">
        <f>+'Service Counts'!AA50</f>
        <v>495</v>
      </c>
      <c r="D48" s="63">
        <f>+'Service Counts'!Y50</f>
        <v>1.3</v>
      </c>
      <c r="E48" s="43">
        <f t="shared" si="7"/>
        <v>643.5</v>
      </c>
      <c r="F48" s="63">
        <f t="shared" si="8"/>
        <v>1.1264476067647557</v>
      </c>
      <c r="G48" s="57">
        <f t="shared" si="9"/>
        <v>557.59156534855413</v>
      </c>
      <c r="H48" s="10">
        <f t="shared" si="10"/>
        <v>-0.13350184095018783</v>
      </c>
      <c r="I48" s="143">
        <v>1.3</v>
      </c>
      <c r="J48" s="57">
        <f t="shared" si="11"/>
        <v>643.5</v>
      </c>
      <c r="K48" s="10">
        <f t="shared" si="12"/>
        <v>0</v>
      </c>
      <c r="L48" s="63">
        <f t="shared" si="13"/>
        <v>1.3</v>
      </c>
    </row>
    <row r="49" spans="1:12">
      <c r="C49" s="122"/>
      <c r="D49" s="63"/>
      <c r="E49" s="6">
        <f>SUM(E32:E48)</f>
        <v>280349.2</v>
      </c>
      <c r="G49" s="6">
        <f>SUM(G32:G48)</f>
        <v>242922.06569108763</v>
      </c>
      <c r="I49" s="127"/>
      <c r="J49" s="6">
        <f>SUM(J32:J48)</f>
        <v>280349.2</v>
      </c>
      <c r="K49" s="125">
        <f>(+J49-E49)/E49</f>
        <v>0</v>
      </c>
    </row>
    <row r="50" spans="1:12">
      <c r="A50" t="s">
        <v>409</v>
      </c>
      <c r="C50" s="122"/>
      <c r="D50" s="63"/>
      <c r="I50" s="127"/>
      <c r="J50" s="53"/>
    </row>
    <row r="51" spans="1:12">
      <c r="A51" t="s">
        <v>408</v>
      </c>
      <c r="C51" s="122">
        <f>+'Service Counts'!AA53</f>
        <v>0</v>
      </c>
      <c r="D51" s="63">
        <f>+'Service Counts'!Y53</f>
        <v>95.05</v>
      </c>
      <c r="E51" s="6">
        <f t="shared" ref="E51:E65" si="28">+C51*D51</f>
        <v>0</v>
      </c>
      <c r="F51" s="63">
        <f t="shared" ref="F51:F65" si="29">+D51*(1+$H$4)</f>
        <v>82.360650017684634</v>
      </c>
      <c r="G51" s="53">
        <f t="shared" ref="G51:G65" si="30">+C51*F51</f>
        <v>0</v>
      </c>
      <c r="H51" s="10">
        <f t="shared" ref="H51:H65" si="31">+IF(C51=0,0,(G51-E51)/E51)</f>
        <v>0</v>
      </c>
      <c r="I51" s="143">
        <v>95.05</v>
      </c>
      <c r="J51" s="53">
        <f t="shared" ref="J51:J65" si="32">+C51*I51</f>
        <v>0</v>
      </c>
      <c r="K51" s="10">
        <f t="shared" ref="K51:K65" si="33">+IF(C51=0,0,(J51-E51)/E51)</f>
        <v>0</v>
      </c>
      <c r="L51" s="63">
        <f t="shared" ref="L51:L65" si="34">+D51*(1+$L$2)</f>
        <v>95.05</v>
      </c>
    </row>
    <row r="52" spans="1:12">
      <c r="A52" t="s">
        <v>407</v>
      </c>
      <c r="C52" s="122">
        <f>+'Service Counts'!AA54</f>
        <v>36</v>
      </c>
      <c r="D52" s="63">
        <f>+'Service Counts'!Y54</f>
        <v>114.95</v>
      </c>
      <c r="E52" s="6">
        <f t="shared" si="28"/>
        <v>4138.2</v>
      </c>
      <c r="F52" s="63">
        <f t="shared" si="29"/>
        <v>99.603963382775902</v>
      </c>
      <c r="G52" s="53">
        <f t="shared" si="30"/>
        <v>3585.7426817799324</v>
      </c>
      <c r="H52" s="10">
        <f t="shared" si="31"/>
        <v>-0.13350184095018788</v>
      </c>
      <c r="I52" s="143">
        <v>114.95</v>
      </c>
      <c r="J52" s="53">
        <f t="shared" si="32"/>
        <v>4138.2</v>
      </c>
      <c r="K52" s="10">
        <f t="shared" si="33"/>
        <v>0</v>
      </c>
      <c r="L52" s="63">
        <f t="shared" si="34"/>
        <v>114.95</v>
      </c>
    </row>
    <row r="53" spans="1:12">
      <c r="A53" t="s">
        <v>406</v>
      </c>
      <c r="C53" s="122">
        <f>+'Service Counts'!AA55</f>
        <v>512</v>
      </c>
      <c r="D53" s="63">
        <f>+'Service Counts'!Y55</f>
        <v>124.95</v>
      </c>
      <c r="E53" s="6">
        <f t="shared" si="28"/>
        <v>63974.400000000001</v>
      </c>
      <c r="F53" s="63">
        <f t="shared" si="29"/>
        <v>108.26894497327402</v>
      </c>
      <c r="G53" s="53">
        <f t="shared" si="30"/>
        <v>55433.699826316297</v>
      </c>
      <c r="H53" s="10">
        <f t="shared" si="31"/>
        <v>-0.13350184095018797</v>
      </c>
      <c r="I53" s="143">
        <v>124.95</v>
      </c>
      <c r="J53" s="53">
        <f t="shared" si="32"/>
        <v>63974.400000000001</v>
      </c>
      <c r="K53" s="10">
        <f t="shared" si="33"/>
        <v>0</v>
      </c>
      <c r="L53" s="63">
        <f t="shared" si="34"/>
        <v>124.95</v>
      </c>
    </row>
    <row r="54" spans="1:12">
      <c r="A54" t="s">
        <v>405</v>
      </c>
      <c r="C54" s="122">
        <f>+'Service Counts'!AA56</f>
        <v>0</v>
      </c>
      <c r="D54" s="63">
        <f>+'Service Counts'!Y56</f>
        <v>0</v>
      </c>
      <c r="E54" s="6">
        <f t="shared" si="28"/>
        <v>0</v>
      </c>
      <c r="F54" s="63">
        <f t="shared" si="29"/>
        <v>0</v>
      </c>
      <c r="G54" s="53">
        <f t="shared" si="30"/>
        <v>0</v>
      </c>
      <c r="H54" s="10">
        <f t="shared" si="31"/>
        <v>0</v>
      </c>
      <c r="I54" s="143">
        <v>140</v>
      </c>
      <c r="J54" s="53">
        <f t="shared" si="32"/>
        <v>0</v>
      </c>
      <c r="K54" s="10">
        <f t="shared" si="33"/>
        <v>0</v>
      </c>
      <c r="L54" s="63">
        <f t="shared" si="34"/>
        <v>0</v>
      </c>
    </row>
    <row r="55" spans="1:12">
      <c r="A55" t="s">
        <v>404</v>
      </c>
      <c r="C55" s="122">
        <f>+'Service Counts'!AA57</f>
        <v>0</v>
      </c>
      <c r="D55" s="63">
        <f>+'Service Counts'!Y57</f>
        <v>3.05</v>
      </c>
      <c r="E55" s="6">
        <f t="shared" si="28"/>
        <v>0</v>
      </c>
      <c r="F55" s="63">
        <f t="shared" si="29"/>
        <v>2.6428193851019266</v>
      </c>
      <c r="G55" s="53">
        <f t="shared" si="30"/>
        <v>0</v>
      </c>
      <c r="H55" s="10">
        <f t="shared" si="31"/>
        <v>0</v>
      </c>
      <c r="I55" s="143">
        <v>3.05</v>
      </c>
      <c r="J55" s="53">
        <f t="shared" si="32"/>
        <v>0</v>
      </c>
      <c r="K55" s="10">
        <f t="shared" si="33"/>
        <v>0</v>
      </c>
      <c r="L55" s="63">
        <f t="shared" si="34"/>
        <v>3.05</v>
      </c>
    </row>
    <row r="56" spans="1:12">
      <c r="A56" t="s">
        <v>403</v>
      </c>
      <c r="C56" s="122">
        <f>+'Service Counts'!AA58</f>
        <v>1165</v>
      </c>
      <c r="D56" s="63">
        <f>+'Service Counts'!Y58</f>
        <v>3.55</v>
      </c>
      <c r="E56" s="6">
        <f t="shared" si="28"/>
        <v>4135.75</v>
      </c>
      <c r="F56" s="63">
        <f t="shared" si="29"/>
        <v>3.0760684646268328</v>
      </c>
      <c r="G56" s="53">
        <f t="shared" si="30"/>
        <v>3583.6197612902602</v>
      </c>
      <c r="H56" s="10">
        <f t="shared" si="31"/>
        <v>-0.13350184095018797</v>
      </c>
      <c r="I56" s="143">
        <v>3.55</v>
      </c>
      <c r="J56" s="53">
        <f t="shared" si="32"/>
        <v>4135.75</v>
      </c>
      <c r="K56" s="10">
        <f t="shared" si="33"/>
        <v>0</v>
      </c>
      <c r="L56" s="63">
        <f t="shared" si="34"/>
        <v>3.55</v>
      </c>
    </row>
    <row r="57" spans="1:12">
      <c r="A57" t="s">
        <v>402</v>
      </c>
      <c r="C57" s="122">
        <f>+'Service Counts'!AA59</f>
        <v>3021</v>
      </c>
      <c r="D57" s="63">
        <f>+'Service Counts'!Y59</f>
        <v>4.2</v>
      </c>
      <c r="E57" s="6">
        <f t="shared" si="28"/>
        <v>12688.2</v>
      </c>
      <c r="F57" s="63">
        <f t="shared" si="29"/>
        <v>3.639292268009211</v>
      </c>
      <c r="G57" s="53">
        <f t="shared" si="30"/>
        <v>10994.301941655827</v>
      </c>
      <c r="H57" s="10">
        <f t="shared" si="31"/>
        <v>-0.13350184095018786</v>
      </c>
      <c r="I57" s="143">
        <v>4.2</v>
      </c>
      <c r="J57" s="53">
        <f t="shared" si="32"/>
        <v>12688.2</v>
      </c>
      <c r="K57" s="10">
        <f t="shared" si="33"/>
        <v>0</v>
      </c>
      <c r="L57" s="63">
        <f t="shared" si="34"/>
        <v>4.2</v>
      </c>
    </row>
    <row r="58" spans="1:12">
      <c r="A58" t="s">
        <v>401</v>
      </c>
      <c r="C58" s="122">
        <f>+'Service Counts'!AA60</f>
        <v>0</v>
      </c>
      <c r="D58" s="63">
        <f>+'Service Counts'!Y60</f>
        <v>0</v>
      </c>
      <c r="E58" s="6">
        <f t="shared" si="28"/>
        <v>0</v>
      </c>
      <c r="F58" s="63">
        <f t="shared" si="29"/>
        <v>0</v>
      </c>
      <c r="G58" s="53">
        <f t="shared" si="30"/>
        <v>0</v>
      </c>
      <c r="H58" s="10">
        <f t="shared" si="31"/>
        <v>0</v>
      </c>
      <c r="I58" s="143">
        <v>5.05</v>
      </c>
      <c r="J58" s="53">
        <f t="shared" si="32"/>
        <v>0</v>
      </c>
      <c r="K58" s="10">
        <f t="shared" si="33"/>
        <v>0</v>
      </c>
      <c r="L58" s="63">
        <f t="shared" si="34"/>
        <v>0</v>
      </c>
    </row>
    <row r="59" spans="1:12">
      <c r="A59" t="s">
        <v>400</v>
      </c>
      <c r="C59" s="122">
        <f>+'Service Counts'!AA61</f>
        <v>0</v>
      </c>
      <c r="D59" s="63">
        <f>+'Service Counts'!Y61</f>
        <v>35</v>
      </c>
      <c r="E59" s="6">
        <f t="shared" si="28"/>
        <v>0</v>
      </c>
      <c r="F59" s="63">
        <f t="shared" si="29"/>
        <v>30.327435566743421</v>
      </c>
      <c r="G59" s="53">
        <f t="shared" si="30"/>
        <v>0</v>
      </c>
      <c r="H59" s="10">
        <f t="shared" si="31"/>
        <v>0</v>
      </c>
      <c r="I59" s="143">
        <v>35</v>
      </c>
      <c r="J59" s="53">
        <f t="shared" si="32"/>
        <v>0</v>
      </c>
      <c r="K59" s="10">
        <f t="shared" si="33"/>
        <v>0</v>
      </c>
      <c r="L59" s="63">
        <f t="shared" si="34"/>
        <v>35</v>
      </c>
    </row>
    <row r="60" spans="1:12">
      <c r="A60" t="s">
        <v>399</v>
      </c>
      <c r="C60" s="122">
        <f>+'Service Counts'!AA62</f>
        <v>5</v>
      </c>
      <c r="D60" s="63">
        <f>+'Service Counts'!Y62</f>
        <v>35</v>
      </c>
      <c r="E60" s="6">
        <f t="shared" si="28"/>
        <v>175</v>
      </c>
      <c r="F60" s="63">
        <f t="shared" si="29"/>
        <v>30.327435566743421</v>
      </c>
      <c r="G60" s="53">
        <f t="shared" si="30"/>
        <v>151.63717783371712</v>
      </c>
      <c r="H60" s="10">
        <f t="shared" si="31"/>
        <v>-0.13350184095018791</v>
      </c>
      <c r="I60" s="143">
        <v>35</v>
      </c>
      <c r="J60" s="53">
        <f t="shared" si="32"/>
        <v>175</v>
      </c>
      <c r="K60" s="10">
        <f t="shared" si="33"/>
        <v>0</v>
      </c>
      <c r="L60" s="63">
        <f t="shared" si="34"/>
        <v>35</v>
      </c>
    </row>
    <row r="61" spans="1:12">
      <c r="A61" t="s">
        <v>398</v>
      </c>
      <c r="C61" s="122">
        <f>+'Service Counts'!AA63</f>
        <v>3</v>
      </c>
      <c r="D61" s="63">
        <f>+'Service Counts'!Y63</f>
        <v>35</v>
      </c>
      <c r="E61" s="6">
        <f t="shared" si="28"/>
        <v>105</v>
      </c>
      <c r="F61" s="63">
        <f t="shared" si="29"/>
        <v>30.327435566743421</v>
      </c>
      <c r="G61" s="53">
        <f t="shared" si="30"/>
        <v>90.982306700230268</v>
      </c>
      <c r="H61" s="10">
        <f t="shared" si="31"/>
        <v>-0.13350184095018791</v>
      </c>
      <c r="I61" s="143">
        <v>35</v>
      </c>
      <c r="J61" s="53">
        <f t="shared" si="32"/>
        <v>105</v>
      </c>
      <c r="K61" s="10">
        <f t="shared" si="33"/>
        <v>0</v>
      </c>
      <c r="L61" s="63">
        <f t="shared" si="34"/>
        <v>35</v>
      </c>
    </row>
    <row r="62" spans="1:12">
      <c r="A62" t="s">
        <v>397</v>
      </c>
      <c r="C62" s="122">
        <f>+'Service Counts'!AA64</f>
        <v>0</v>
      </c>
      <c r="D62" s="63">
        <f>+'Service Counts'!Y64</f>
        <v>0</v>
      </c>
      <c r="E62" s="6">
        <f t="shared" si="28"/>
        <v>0</v>
      </c>
      <c r="F62" s="63">
        <f t="shared" si="29"/>
        <v>0</v>
      </c>
      <c r="G62" s="53">
        <f t="shared" si="30"/>
        <v>0</v>
      </c>
      <c r="H62" s="10">
        <f t="shared" si="31"/>
        <v>0</v>
      </c>
      <c r="I62" s="143">
        <v>35</v>
      </c>
      <c r="J62" s="53">
        <f t="shared" si="32"/>
        <v>0</v>
      </c>
      <c r="K62" s="10">
        <f t="shared" si="33"/>
        <v>0</v>
      </c>
      <c r="L62" s="63">
        <f t="shared" si="34"/>
        <v>0</v>
      </c>
    </row>
    <row r="63" spans="1:12">
      <c r="A63" t="s">
        <v>396</v>
      </c>
      <c r="C63" s="122">
        <f>+'Service Counts'!AA65</f>
        <v>11315</v>
      </c>
      <c r="D63" s="63">
        <f>+'Service Counts'!Y65</f>
        <v>2.2000000000000002</v>
      </c>
      <c r="E63" s="6">
        <f t="shared" si="28"/>
        <v>24893.000000000004</v>
      </c>
      <c r="F63" s="63">
        <f t="shared" si="29"/>
        <v>1.9062959499095868</v>
      </c>
      <c r="G63" s="53">
        <f t="shared" si="30"/>
        <v>21569.738673226973</v>
      </c>
      <c r="H63" s="10">
        <f t="shared" si="31"/>
        <v>-0.13350184095018799</v>
      </c>
      <c r="I63" s="143">
        <v>2.2000000000000002</v>
      </c>
      <c r="J63" s="53">
        <f t="shared" si="32"/>
        <v>24893.000000000004</v>
      </c>
      <c r="K63" s="10">
        <f t="shared" si="33"/>
        <v>0</v>
      </c>
      <c r="L63" s="63">
        <f t="shared" si="34"/>
        <v>2.2000000000000002</v>
      </c>
    </row>
    <row r="64" spans="1:12">
      <c r="A64" t="s">
        <v>394</v>
      </c>
      <c r="C64" s="122">
        <f>+'Service Counts'!AA67</f>
        <v>0</v>
      </c>
      <c r="D64" s="63">
        <f>+'Service Counts'!Y67</f>
        <v>0</v>
      </c>
      <c r="E64" s="6">
        <f t="shared" si="28"/>
        <v>0</v>
      </c>
      <c r="F64" s="63">
        <f t="shared" si="29"/>
        <v>0</v>
      </c>
      <c r="G64" s="53">
        <f t="shared" si="30"/>
        <v>0</v>
      </c>
      <c r="H64" s="10">
        <f t="shared" si="31"/>
        <v>0</v>
      </c>
      <c r="I64" s="143">
        <f>+L64</f>
        <v>0</v>
      </c>
      <c r="J64" s="53">
        <f t="shared" si="32"/>
        <v>0</v>
      </c>
      <c r="K64" s="10">
        <f t="shared" si="33"/>
        <v>0</v>
      </c>
      <c r="L64" s="63">
        <f t="shared" si="34"/>
        <v>0</v>
      </c>
    </row>
    <row r="65" spans="1:12">
      <c r="A65" t="s">
        <v>393</v>
      </c>
      <c r="C65" s="122">
        <f>+'Service Counts'!AA68</f>
        <v>0</v>
      </c>
      <c r="D65" s="63">
        <f>+'Service Counts'!Y68</f>
        <v>0</v>
      </c>
      <c r="E65" s="43">
        <f t="shared" si="28"/>
        <v>0</v>
      </c>
      <c r="F65" s="63">
        <f t="shared" si="29"/>
        <v>0</v>
      </c>
      <c r="G65" s="57">
        <f t="shared" si="30"/>
        <v>0</v>
      </c>
      <c r="H65" s="10">
        <f t="shared" si="31"/>
        <v>0</v>
      </c>
      <c r="I65" s="143">
        <f>+L65</f>
        <v>0</v>
      </c>
      <c r="J65" s="57">
        <f t="shared" si="32"/>
        <v>0</v>
      </c>
      <c r="K65" s="10">
        <f t="shared" si="33"/>
        <v>0</v>
      </c>
      <c r="L65" s="63">
        <f t="shared" si="34"/>
        <v>0</v>
      </c>
    </row>
    <row r="66" spans="1:12">
      <c r="C66" s="122"/>
      <c r="D66" s="63"/>
      <c r="E66" s="6">
        <f>SUM(E51:E65)</f>
        <v>110109.55</v>
      </c>
      <c r="G66" s="6">
        <f>SUM(G51:G65)</f>
        <v>95409.722368803254</v>
      </c>
      <c r="I66" s="127"/>
      <c r="J66" s="6">
        <f>SUM(J51:J65)</f>
        <v>110109.55</v>
      </c>
      <c r="K66" s="125">
        <f>(+J66-E66)/E66</f>
        <v>0</v>
      </c>
    </row>
    <row r="67" spans="1:12">
      <c r="A67" t="s">
        <v>392</v>
      </c>
      <c r="C67" s="122"/>
      <c r="D67" s="63"/>
      <c r="I67" s="127"/>
      <c r="J67" s="53"/>
    </row>
    <row r="68" spans="1:12">
      <c r="A68" t="s">
        <v>391</v>
      </c>
      <c r="C68" s="122"/>
      <c r="D68" s="63"/>
      <c r="I68" s="127"/>
      <c r="J68" s="53"/>
    </row>
    <row r="69" spans="1:12">
      <c r="A69" t="s">
        <v>390</v>
      </c>
      <c r="C69" s="122">
        <f>+'Service Counts'!AA72</f>
        <v>0</v>
      </c>
      <c r="D69" s="63">
        <f>+'Service Counts'!Y72</f>
        <v>129</v>
      </c>
      <c r="E69" s="6">
        <f>+C69*D69</f>
        <v>0</v>
      </c>
      <c r="F69" s="63">
        <f>+D69*(1+$H$4)</f>
        <v>111.77826251742576</v>
      </c>
      <c r="G69" s="53">
        <f>+C69*F69</f>
        <v>0</v>
      </c>
      <c r="H69" s="10">
        <f>+IF(C69=0,0,(G69-E69)/E69)</f>
        <v>0</v>
      </c>
      <c r="I69" s="143">
        <v>129</v>
      </c>
      <c r="J69" s="53">
        <f>+C69*I69</f>
        <v>0</v>
      </c>
      <c r="K69" s="10">
        <f>+IF(C69=0,0,(J69-E69)/E69)</f>
        <v>0</v>
      </c>
      <c r="L69" s="63">
        <f>+D69*(1+$L$2)</f>
        <v>129</v>
      </c>
    </row>
    <row r="70" spans="1:12">
      <c r="A70" t="s">
        <v>389</v>
      </c>
      <c r="C70" s="122">
        <f>+'Service Counts'!AA73</f>
        <v>0</v>
      </c>
      <c r="D70" s="63">
        <f>+'Service Counts'!Y73</f>
        <v>32</v>
      </c>
      <c r="E70" s="43">
        <f>+C70*D70</f>
        <v>0</v>
      </c>
      <c r="F70" s="63">
        <f>+D70*(1+$H$4)</f>
        <v>27.727941089593987</v>
      </c>
      <c r="G70" s="57">
        <f>+C70*F70</f>
        <v>0</v>
      </c>
      <c r="H70" s="10">
        <f>+IF(C70=0,0,(G70-E70)/E70)</f>
        <v>0</v>
      </c>
      <c r="I70" s="143">
        <v>32</v>
      </c>
      <c r="J70" s="57">
        <f>+C70*I70</f>
        <v>0</v>
      </c>
      <c r="K70" s="10">
        <f>+IF(C70=0,0,(J70-E70)/E70)</f>
        <v>0</v>
      </c>
      <c r="L70" s="63">
        <f>+D70*(1+$L$2)</f>
        <v>32</v>
      </c>
    </row>
    <row r="71" spans="1:12">
      <c r="C71" s="122"/>
      <c r="D71" s="63"/>
      <c r="E71" s="6">
        <f>SUM(E69:E70)</f>
        <v>0</v>
      </c>
      <c r="G71" s="6">
        <f>SUM(G69:G70)</f>
        <v>0</v>
      </c>
      <c r="J71" s="6">
        <f>SUM(J69:J70)</f>
        <v>0</v>
      </c>
      <c r="K71" s="125" t="e">
        <f>(+J71-E71)/E71</f>
        <v>#DIV/0!</v>
      </c>
    </row>
    <row r="72" spans="1:12">
      <c r="C72" s="122"/>
      <c r="D72" s="56"/>
    </row>
    <row r="73" spans="1:12">
      <c r="C73" s="122"/>
      <c r="D73" s="56"/>
    </row>
    <row r="74" spans="1:12">
      <c r="C74" s="122">
        <f>+'Service Counts'!AA75</f>
        <v>26927.033833718244</v>
      </c>
      <c r="D74" s="56"/>
      <c r="E74" s="63">
        <f>+E30+E49+E66+E71</f>
        <v>446637.57365473441</v>
      </c>
      <c r="G74" s="63">
        <f>+G30+G49+G66+G71</f>
        <v>387010.63533430232</v>
      </c>
      <c r="J74" s="63">
        <f>+J30+J49+J66+J71</f>
        <v>446637.57365473441</v>
      </c>
    </row>
    <row r="75" spans="1:12">
      <c r="C75" s="122"/>
      <c r="D75" s="56"/>
    </row>
    <row r="76" spans="1:12">
      <c r="A76" t="s">
        <v>388</v>
      </c>
      <c r="C76" s="122"/>
      <c r="D76" s="56"/>
      <c r="G76" s="63">
        <f>+G74-E74</f>
        <v>-59626.938320432091</v>
      </c>
      <c r="J76" s="63">
        <f>+J74-E74</f>
        <v>0</v>
      </c>
      <c r="K76" s="142">
        <f>ROUND((+J76/E74),4)</f>
        <v>0</v>
      </c>
    </row>
    <row r="77" spans="1:12">
      <c r="C77" s="122"/>
      <c r="D77" s="56"/>
    </row>
    <row r="78" spans="1:12">
      <c r="C78" s="122"/>
      <c r="D78" s="56"/>
      <c r="E78" s="6"/>
      <c r="K78" s="141">
        <f>+K76</f>
        <v>0</v>
      </c>
    </row>
    <row r="79" spans="1:12">
      <c r="C79" s="122"/>
      <c r="D79" s="56"/>
      <c r="E79" s="6"/>
    </row>
    <row r="80" spans="1:12">
      <c r="C80" s="122"/>
      <c r="D80" s="56"/>
      <c r="E80" s="82"/>
    </row>
    <row r="81" spans="3:5">
      <c r="C81" s="122"/>
      <c r="D81" s="56"/>
      <c r="E81" s="18"/>
    </row>
    <row r="82" spans="3:5">
      <c r="C82" s="122"/>
      <c r="D82" s="56"/>
      <c r="E82" s="56"/>
    </row>
    <row r="83" spans="3:5">
      <c r="C83" s="122"/>
      <c r="D83" s="56"/>
      <c r="E83" s="10"/>
    </row>
    <row r="84" spans="3:5">
      <c r="C84" s="122"/>
      <c r="D84" s="56"/>
      <c r="E84" s="10"/>
    </row>
    <row r="85" spans="3:5">
      <c r="C85" s="122"/>
      <c r="D85" s="56"/>
    </row>
    <row r="86" spans="3:5">
      <c r="D86" s="56"/>
    </row>
  </sheetData>
  <pageMargins left="0.25" right="0.25" top="0.5" bottom="0.25" header="0.5" footer="0.5"/>
  <pageSetup scale="77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96"/>
  <sheetViews>
    <sheetView workbookViewId="0">
      <selection activeCell="H10" sqref="H10"/>
    </sheetView>
  </sheetViews>
  <sheetFormatPr defaultRowHeight="12.75"/>
  <cols>
    <col min="1" max="1" width="10.140625" bestFit="1" customWidth="1"/>
    <col min="5" max="5" width="11" customWidth="1"/>
    <col min="20" max="20" width="11.42578125" customWidth="1"/>
    <col min="29" max="29" width="11.85546875" customWidth="1"/>
    <col min="35" max="35" width="10.85546875" customWidth="1"/>
    <col min="36" max="36" width="10.28515625" customWidth="1"/>
    <col min="37" max="37" width="10" customWidth="1"/>
    <col min="38" max="38" width="10.140625" customWidth="1"/>
    <col min="39" max="39" width="10.7109375" customWidth="1"/>
  </cols>
  <sheetData>
    <row r="1" spans="1:35">
      <c r="A1" t="s">
        <v>0</v>
      </c>
    </row>
    <row r="3" spans="1:35">
      <c r="A3" t="s">
        <v>468</v>
      </c>
      <c r="D3" s="643" t="s">
        <v>1342</v>
      </c>
      <c r="E3" s="643" t="s">
        <v>689</v>
      </c>
    </row>
    <row r="5" spans="1:35">
      <c r="A5" s="672">
        <v>44834</v>
      </c>
    </row>
    <row r="7" spans="1:35">
      <c r="B7" s="16" t="s">
        <v>126</v>
      </c>
      <c r="AD7" s="2" t="s">
        <v>127</v>
      </c>
      <c r="AE7" s="2" t="s">
        <v>128</v>
      </c>
      <c r="AH7" s="16" t="s">
        <v>129</v>
      </c>
    </row>
    <row r="8" spans="1:35">
      <c r="E8" s="28"/>
      <c r="M8" s="16" t="s">
        <v>130</v>
      </c>
      <c r="T8" s="2" t="s">
        <v>131</v>
      </c>
      <c r="U8" s="2" t="s">
        <v>132</v>
      </c>
      <c r="V8" s="2" t="s">
        <v>133</v>
      </c>
      <c r="W8" s="2" t="s">
        <v>134</v>
      </c>
      <c r="X8" s="2" t="s">
        <v>135</v>
      </c>
      <c r="Z8" s="2" t="s">
        <v>136</v>
      </c>
      <c r="AA8" s="16" t="s">
        <v>137</v>
      </c>
      <c r="AB8" s="2" t="s">
        <v>138</v>
      </c>
      <c r="AC8" s="2" t="s">
        <v>139</v>
      </c>
      <c r="AD8" s="2" t="s">
        <v>140</v>
      </c>
      <c r="AH8" s="16" t="s">
        <v>141</v>
      </c>
    </row>
    <row r="9" spans="1:35">
      <c r="B9" s="16" t="s">
        <v>142</v>
      </c>
      <c r="C9" s="16" t="s">
        <v>143</v>
      </c>
      <c r="E9" s="28">
        <f>E11+E10</f>
        <v>2084361.4648495389</v>
      </c>
      <c r="F9" s="16" t="s">
        <v>144</v>
      </c>
      <c r="K9" s="29"/>
      <c r="M9" s="16" t="s">
        <v>145</v>
      </c>
      <c r="P9" s="16" t="s">
        <v>146</v>
      </c>
      <c r="T9" s="30">
        <f>$E$12*1.25</f>
        <v>2357402.17755068</v>
      </c>
      <c r="U9" s="31">
        <f>100*(+T9/$E$13)</f>
        <v>307.90452115897625</v>
      </c>
      <c r="V9" s="32">
        <f>EXP(5.7226-(0.68367*LN(+U9)))</f>
        <v>6.0818848086374961</v>
      </c>
      <c r="W9" s="32">
        <f>(+V9*U9)/100</f>
        <v>18.7263982974758</v>
      </c>
      <c r="X9" s="31">
        <f>100*((((W9/100)-((W9/100)-0.03574)*$E$25)-0.03574-0.00619)/0.344)</f>
        <v>32.998240276179892</v>
      </c>
      <c r="Y9">
        <v>0</v>
      </c>
      <c r="Z9" s="31">
        <f>X9+Y9</f>
        <v>32.998240276179892</v>
      </c>
      <c r="AA9" s="31">
        <f>100*($E$21*$E$23+($E$22*(Z9/100))/(1-$E$25))</f>
        <v>27.161954640136628</v>
      </c>
      <c r="AB9" s="32">
        <f>AA9/U9</f>
        <v>8.821551089245766E-2</v>
      </c>
      <c r="AC9" s="30">
        <f>$E$12/(1-AB9)</f>
        <v>2068385.4184517772</v>
      </c>
      <c r="AD9" t="str">
        <f>IF(AC9=$T$9,"yes","not yet")</f>
        <v>not yet</v>
      </c>
      <c r="AE9" s="31">
        <f>100*(1-AB9)</f>
        <v>91.178448910754241</v>
      </c>
      <c r="AH9">
        <v>0</v>
      </c>
      <c r="AI9">
        <v>1</v>
      </c>
    </row>
    <row r="10" spans="1:35">
      <c r="B10" s="16" t="s">
        <v>142</v>
      </c>
      <c r="C10" s="16" t="s">
        <v>147</v>
      </c>
      <c r="E10" s="28">
        <f>(+E12-((H19/100)*E11))/H29</f>
        <v>154368.18177137821</v>
      </c>
      <c r="F10" s="33" t="s">
        <v>144</v>
      </c>
      <c r="K10" s="29"/>
      <c r="M10" s="16" t="s">
        <v>148</v>
      </c>
      <c r="P10" s="16" t="s">
        <v>149</v>
      </c>
      <c r="T10" s="30">
        <f>$E$12*1.25</f>
        <v>2357402.17755068</v>
      </c>
      <c r="U10" s="31">
        <f>100*(+T10/$E$13)</f>
        <v>307.90452115897625</v>
      </c>
      <c r="V10" s="32">
        <f>EXP(5.70827-(0.68367*LN(+U10)))</f>
        <v>5.9953528813533161</v>
      </c>
      <c r="W10" s="32">
        <f>(+V10*U10)/100</f>
        <v>18.459962581121815</v>
      </c>
      <c r="X10" s="31">
        <f>100*((((W10/100)-((W10/100)-0.03574)*$E$25)-0.03574-0.00619)/0.344)</f>
        <v>32.38636755548324</v>
      </c>
      <c r="Y10">
        <v>0</v>
      </c>
      <c r="Z10" s="31">
        <f>X10+Y10</f>
        <v>32.38636755548324</v>
      </c>
      <c r="AA10" s="31">
        <f>100*($E$21*$E$23+($E$22*(Z10/100))/(1-$E$25))</f>
        <v>26.697241181379677</v>
      </c>
      <c r="AB10" s="32">
        <f>AA10/U10</f>
        <v>8.6706233090989418E-2</v>
      </c>
      <c r="AC10" s="30">
        <f>$E$12/(1-AB10)</f>
        <v>2064967.2759985388</v>
      </c>
      <c r="AD10" t="str">
        <f>IF(AC10=$T$10,"yes","not yet")</f>
        <v>not yet</v>
      </c>
      <c r="AE10" s="31">
        <f>100*(1-AB10)</f>
        <v>91.329376690901057</v>
      </c>
      <c r="AH10">
        <v>50</v>
      </c>
      <c r="AI10">
        <v>2</v>
      </c>
    </row>
    <row r="11" spans="1:35">
      <c r="B11" s="34" t="s">
        <v>150</v>
      </c>
      <c r="C11" s="16" t="s">
        <v>151</v>
      </c>
      <c r="D11" s="34" t="s">
        <v>152</v>
      </c>
      <c r="E11" s="28">
        <f>+'Results of Operations Regulated'!D21</f>
        <v>1929993.2830781606</v>
      </c>
      <c r="F11" s="16" t="s">
        <v>153</v>
      </c>
      <c r="K11" s="29"/>
      <c r="M11" s="16" t="s">
        <v>154</v>
      </c>
      <c r="P11" s="16" t="s">
        <v>155</v>
      </c>
      <c r="T11" s="30">
        <f>$E$12*1.25</f>
        <v>2357402.17755068</v>
      </c>
      <c r="U11" s="31">
        <f>100*(+T11/$E$13)</f>
        <v>307.90452115897625</v>
      </c>
      <c r="V11" s="32">
        <f>EXP(5.6985-(0.68367*LN(U11)))</f>
        <v>5.9370634910310951</v>
      </c>
      <c r="W11" s="32">
        <f>(+V11*U11)/100</f>
        <v>18.280486912963692</v>
      </c>
      <c r="X11" s="31">
        <f>100*((((W11/100)-((W11/100)-0.03574)*$E$25)-0.03574-0.00619)/0.344)</f>
        <v>31.974199596631735</v>
      </c>
      <c r="Y11">
        <v>0</v>
      </c>
      <c r="Z11" s="31">
        <f>X11+Y11</f>
        <v>31.974199596631735</v>
      </c>
      <c r="AA11" s="31">
        <f>100*($E$21*$E$23+($E$22*(Z11/100))/(1-$E$25))</f>
        <v>26.384202225289926</v>
      </c>
      <c r="AB11" s="32">
        <f>AA11/U11</f>
        <v>8.5689557678392522E-2</v>
      </c>
      <c r="AC11" s="30">
        <f>$E$12/(1-AB11)</f>
        <v>2062671.1177571495</v>
      </c>
      <c r="AD11" t="str">
        <f>IF(AC11=$T$11,"yes","not yet")</f>
        <v>not yet</v>
      </c>
      <c r="AE11" s="31">
        <f>100*(1-AB11)</f>
        <v>91.431044232160758</v>
      </c>
      <c r="AH11">
        <v>125</v>
      </c>
      <c r="AI11">
        <v>3</v>
      </c>
    </row>
    <row r="12" spans="1:35">
      <c r="B12" s="34" t="s">
        <v>150</v>
      </c>
      <c r="C12" s="16" t="s">
        <v>156</v>
      </c>
      <c r="D12" s="34" t="s">
        <v>152</v>
      </c>
      <c r="E12" s="28">
        <f>+'Results of Operations Regulated'!D102</f>
        <v>1885921.742040544</v>
      </c>
      <c r="F12" s="16" t="s">
        <v>153</v>
      </c>
      <c r="K12" s="29"/>
      <c r="M12" s="16" t="s">
        <v>157</v>
      </c>
      <c r="P12" s="16" t="s">
        <v>158</v>
      </c>
      <c r="T12" s="30">
        <f>$E$12*1.25</f>
        <v>2357402.17755068</v>
      </c>
      <c r="U12" s="31">
        <f>100*(+T12/$E$13)</f>
        <v>307.90452115897625</v>
      </c>
      <c r="V12" s="32">
        <f>EXP(5.6922-(0.68367*LN(U12)))</f>
        <v>5.8997775650276267</v>
      </c>
      <c r="W12" s="32">
        <f>(+V12*U12)/100</f>
        <v>18.165681861043023</v>
      </c>
      <c r="X12" s="31">
        <f>100*((((W12/100)-((W12/100)-0.03574)*$E$25)-0.03574-0.00619)/0.344)</f>
        <v>31.710548459953458</v>
      </c>
      <c r="Y12">
        <v>0</v>
      </c>
      <c r="Z12" s="31">
        <f>X12+Y12</f>
        <v>31.710548459953458</v>
      </c>
      <c r="AA12" s="31">
        <f>100*($E$21*$E$23+($E$22*(Z12/100))/(1-$E$25))</f>
        <v>26.183960855660853</v>
      </c>
      <c r="AB12" s="32">
        <f>AA12/U12</f>
        <v>8.5039221759727376E-2</v>
      </c>
      <c r="AC12" s="30">
        <f>$E$12/(1-AB12)</f>
        <v>2061205.0121620544</v>
      </c>
      <c r="AD12" t="str">
        <f>IF(AC12=$T$12,"yes","not yet")</f>
        <v>not yet</v>
      </c>
      <c r="AE12" s="31">
        <f>100*(1-AB12)</f>
        <v>91.496077824027267</v>
      </c>
      <c r="AH12">
        <v>401</v>
      </c>
      <c r="AI12">
        <v>4</v>
      </c>
    </row>
    <row r="13" spans="1:35">
      <c r="B13" s="34" t="s">
        <v>150</v>
      </c>
      <c r="C13" s="16" t="s">
        <v>159</v>
      </c>
      <c r="E13" s="28">
        <f>+'Results of Operations Regulated'!D108</f>
        <v>765627.6590799113</v>
      </c>
      <c r="F13" s="16" t="s">
        <v>153</v>
      </c>
      <c r="K13" s="29"/>
      <c r="Z13" s="31"/>
    </row>
    <row r="14" spans="1:35">
      <c r="C14" s="16" t="s">
        <v>160</v>
      </c>
      <c r="E14" s="31">
        <f>U9</f>
        <v>307.90452115897625</v>
      </c>
      <c r="F14" s="16" t="s">
        <v>161</v>
      </c>
      <c r="H14" s="31"/>
      <c r="U14" s="2" t="s">
        <v>162</v>
      </c>
      <c r="V14" s="2" t="s">
        <v>133</v>
      </c>
      <c r="W14" s="2" t="s">
        <v>134</v>
      </c>
      <c r="X14" s="2" t="s">
        <v>135</v>
      </c>
      <c r="Z14" s="31"/>
      <c r="AH14" s="16" t="s">
        <v>163</v>
      </c>
    </row>
    <row r="15" spans="1:35">
      <c r="C15" s="16" t="s">
        <v>164</v>
      </c>
      <c r="E15" s="31">
        <f>HLOOKUP($AI$38,$AI$32:$AQ$36,$E$16+1)</f>
        <v>271.46280472969602</v>
      </c>
      <c r="F15" s="16" t="s">
        <v>161</v>
      </c>
      <c r="U15" s="31">
        <f>100*(+AC9/$E$13)</f>
        <v>270.15552454537072</v>
      </c>
      <c r="V15" s="35">
        <f>EXP(5.7226-(0.68367*LN(+U15)))</f>
        <v>6.650773523576067</v>
      </c>
      <c r="W15" s="32">
        <f>(+V15*U15)/100</f>
        <v>17.967432098941558</v>
      </c>
      <c r="X15" s="31">
        <f>100*((((W15/100)-((W15/100)-0.03574)*$E$25)-0.03574-0.00619)/0.344)</f>
        <v>31.255265576057656</v>
      </c>
      <c r="Y15">
        <v>0</v>
      </c>
      <c r="Z15" s="31">
        <f>X15+Y15</f>
        <v>31.255265576057656</v>
      </c>
      <c r="AA15" s="31">
        <f>100*($E$21*$E$23+($E$22*(Z15/100))/(1-$E$25))</f>
        <v>25.83817638687923</v>
      </c>
      <c r="AB15" s="32">
        <f>AA15/U15</f>
        <v>9.564185826057349E-2</v>
      </c>
      <c r="AC15" s="30">
        <f>$E$12/(1-AB15)</f>
        <v>2085370.4467272174</v>
      </c>
      <c r="AD15" t="str">
        <f>IF(OR(OR(AC15=AC9,AC15=(AC9+1)),AC15=(AC8193-1)),"yes","not yet")</f>
        <v>not yet</v>
      </c>
      <c r="AE15" s="31">
        <f>100*(1-AB15)</f>
        <v>90.435814173942646</v>
      </c>
    </row>
    <row r="16" spans="1:35">
      <c r="C16" s="16" t="s">
        <v>165</v>
      </c>
      <c r="E16">
        <f>VLOOKUP(E14,AH9:AI12,2)</f>
        <v>3</v>
      </c>
      <c r="F16" s="16" t="s">
        <v>161</v>
      </c>
      <c r="U16" s="31">
        <f>100*(+AC10/$E$13)</f>
        <v>269.7090748367296</v>
      </c>
      <c r="V16" s="35">
        <f>EXP(5.70827-(0.68367*LN(+U16)))</f>
        <v>6.5635650710388349</v>
      </c>
      <c r="W16" s="32">
        <f>(+V16*U16)/100</f>
        <v>17.702530629405576</v>
      </c>
      <c r="X16" s="31">
        <f>100*((((W16/100)-((W16/100)-0.03574)*$E$25)-0.03574-0.00619)/0.344)</f>
        <v>30.646916271018632</v>
      </c>
      <c r="Y16">
        <v>0</v>
      </c>
      <c r="Z16" s="31">
        <f>X16+Y16</f>
        <v>30.646916271018632</v>
      </c>
      <c r="AA16" s="31">
        <f>100*($E$21*$E$23+($E$22*(Z16/100))/(1-$E$25))</f>
        <v>25.376138940014147</v>
      </c>
      <c r="AB16" s="32">
        <f>AA16/U16</f>
        <v>9.4087078661983403E-2</v>
      </c>
      <c r="AC16" s="30">
        <f>$E$12/(1-AB16)</f>
        <v>2081791.4146263336</v>
      </c>
      <c r="AD16" t="str">
        <f>IF(OR(OR(AC16=AC10,AC16=(AC10+1)),AC16=(AC10-1)),"yes","not yet")</f>
        <v>not yet</v>
      </c>
      <c r="AE16" s="31">
        <f>100*(1-AB16)</f>
        <v>90.591292133801659</v>
      </c>
    </row>
    <row r="17" spans="2:42">
      <c r="U17" s="31">
        <f>100*(+AC11/$E$13)</f>
        <v>269.40916949577718</v>
      </c>
      <c r="V17" s="35">
        <f>EXP(5.6985-(0.68367*LN(U17)))</f>
        <v>6.5046971022208098</v>
      </c>
      <c r="W17" s="32">
        <f>(+V17*U17)/100</f>
        <v>17.524250441308968</v>
      </c>
      <c r="X17" s="31">
        <f>100*((((W17/100)-((W17/100)-0.03574)*$E$25)-0.03574-0.00619)/0.344)</f>
        <v>30.237493746029326</v>
      </c>
      <c r="Y17">
        <v>0</v>
      </c>
      <c r="Z17" s="31">
        <f>X17+Y17</f>
        <v>30.237493746029326</v>
      </c>
      <c r="AA17" s="31">
        <f>100*($E$21*$E$23+($E$22*(Z17/100))/(1-$E$25))</f>
        <v>25.065185123566575</v>
      </c>
      <c r="AB17" s="32">
        <f>AA17/U17</f>
        <v>9.3037609560499598E-2</v>
      </c>
      <c r="AC17" s="30">
        <f>$E$12/(1-AB17)</f>
        <v>2079382.5211722997</v>
      </c>
      <c r="AD17" t="str">
        <f>IF(OR(OR(AC17=AC11,AC17=(AC11+1)),AC17=(AC11-1)),"yes","not yet")</f>
        <v>not yet</v>
      </c>
      <c r="AE17" s="31">
        <f>100*(1-AB17)</f>
        <v>90.696239043950044</v>
      </c>
      <c r="AI17">
        <v>1</v>
      </c>
      <c r="AJ17">
        <v>2</v>
      </c>
      <c r="AK17">
        <v>3</v>
      </c>
      <c r="AL17">
        <v>4</v>
      </c>
      <c r="AM17">
        <v>5</v>
      </c>
      <c r="AN17">
        <v>7</v>
      </c>
      <c r="AO17">
        <v>8</v>
      </c>
      <c r="AP17">
        <v>9</v>
      </c>
    </row>
    <row r="18" spans="2:42">
      <c r="C18" s="16" t="s">
        <v>166</v>
      </c>
      <c r="U18" s="31">
        <f>100*(+AC12/$E$13)</f>
        <v>269.21767881780761</v>
      </c>
      <c r="V18" s="35">
        <f>EXP(5.6922-(0.68367*LN(U18)))</f>
        <v>6.4669892414464538</v>
      </c>
      <c r="W18" s="32">
        <f>(+V18*U18)/100</f>
        <v>17.410278325219487</v>
      </c>
      <c r="X18" s="31">
        <f>100*((((W18/100)-((W18/100)-0.03574)*$E$25)-0.03574-0.00619)/0.344)</f>
        <v>29.97575545617266</v>
      </c>
      <c r="Y18">
        <v>0</v>
      </c>
      <c r="Z18" s="31">
        <f>X18+Y18</f>
        <v>29.97575545617266</v>
      </c>
      <c r="AA18" s="31">
        <f>100*($E$21*$E$23+($E$22*(Z18/100))/(1-$E$25))</f>
        <v>24.86639654899189</v>
      </c>
      <c r="AB18" s="32">
        <f>AA18/U18</f>
        <v>9.236539241473872E-2</v>
      </c>
      <c r="AC18" s="30">
        <f>$E$12/(1-AB18)</f>
        <v>2077842.4778865483</v>
      </c>
      <c r="AD18" t="str">
        <f>IF(OR(OR(AC18=AC12,AC18=(AC12+1)),AC18=(AC12-1)),"yes","not yet")</f>
        <v>not yet</v>
      </c>
      <c r="AE18" s="31">
        <f>100*(1-AB18)</f>
        <v>90.763460758526122</v>
      </c>
      <c r="AI18" t="str">
        <f>AD9</f>
        <v>not yet</v>
      </c>
      <c r="AJ18" t="str">
        <f>AD15</f>
        <v>not yet</v>
      </c>
      <c r="AK18" t="str">
        <f>AD21</f>
        <v>not yet</v>
      </c>
      <c r="AL18" t="str">
        <f>AD27</f>
        <v>not yet</v>
      </c>
      <c r="AM18" t="str">
        <f>AD33</f>
        <v>not yet</v>
      </c>
      <c r="AN18">
        <f>AC45</f>
        <v>2084329</v>
      </c>
      <c r="AO18">
        <f>AC51</f>
        <v>2084330</v>
      </c>
      <c r="AP18">
        <f>AC57</f>
        <v>2084329</v>
      </c>
    </row>
    <row r="19" spans="2:42">
      <c r="C19" s="16" t="s">
        <v>167</v>
      </c>
      <c r="E19" s="34" t="s">
        <v>142</v>
      </c>
      <c r="F19" s="16" t="s">
        <v>168</v>
      </c>
      <c r="H19" s="31">
        <f>HLOOKUP($AI$29,$AI$23:$AQ$27,$E$16+1)</f>
        <v>90.73954288236888</v>
      </c>
      <c r="I19" s="16" t="s">
        <v>144</v>
      </c>
      <c r="J19" s="36"/>
      <c r="Z19" s="31"/>
      <c r="AI19" t="str">
        <f>AD10</f>
        <v>not yet</v>
      </c>
      <c r="AJ19" t="str">
        <f>AD16</f>
        <v>not yet</v>
      </c>
      <c r="AK19" t="str">
        <f>AD22</f>
        <v>not yet</v>
      </c>
      <c r="AL19" t="str">
        <f>AD28</f>
        <v>not yet</v>
      </c>
      <c r="AM19" t="str">
        <f>AD34</f>
        <v>not yet</v>
      </c>
      <c r="AN19">
        <f>AC46</f>
        <v>2080780</v>
      </c>
      <c r="AO19">
        <f>AC52</f>
        <v>2080780</v>
      </c>
      <c r="AP19">
        <f>AC58</f>
        <v>2080780</v>
      </c>
    </row>
    <row r="20" spans="2:42">
      <c r="C20" s="37" t="s">
        <v>152</v>
      </c>
      <c r="D20" s="37" t="s">
        <v>152</v>
      </c>
      <c r="E20" s="38"/>
      <c r="H20" s="37" t="s">
        <v>169</v>
      </c>
      <c r="U20" s="16" t="s">
        <v>170</v>
      </c>
      <c r="V20" s="2" t="s">
        <v>133</v>
      </c>
      <c r="W20" s="2" t="s">
        <v>134</v>
      </c>
      <c r="X20" s="2" t="s">
        <v>135</v>
      </c>
      <c r="Z20" s="31"/>
      <c r="AI20" t="str">
        <f>AD11</f>
        <v>not yet</v>
      </c>
      <c r="AJ20" t="str">
        <f>AD17</f>
        <v>not yet</v>
      </c>
      <c r="AK20" t="str">
        <f>AD23</f>
        <v>not yet</v>
      </c>
      <c r="AL20" t="str">
        <f>AD29</f>
        <v>not yet</v>
      </c>
      <c r="AM20" t="str">
        <f>AD35</f>
        <v>not yet</v>
      </c>
      <c r="AN20">
        <f>AC47</f>
        <v>2078390</v>
      </c>
      <c r="AO20">
        <f>AC53</f>
        <v>2078390</v>
      </c>
      <c r="AP20">
        <f>AC59</f>
        <v>2078390</v>
      </c>
    </row>
    <row r="21" spans="2:42">
      <c r="B21" s="34" t="s">
        <v>150</v>
      </c>
      <c r="C21" s="16" t="s">
        <v>171</v>
      </c>
      <c r="E21" s="40">
        <v>0.4</v>
      </c>
      <c r="F21" s="16" t="s">
        <v>172</v>
      </c>
      <c r="U21" s="31">
        <f>100*(+AC15/$E$13)</f>
        <v>272.37396951323569</v>
      </c>
      <c r="V21" s="35">
        <f>EXP(5.7226-(0.68367*LN(+U21)))</f>
        <v>6.6136915483474095</v>
      </c>
      <c r="W21" s="32">
        <f>(+V21*U21)/100</f>
        <v>18.013974201595218</v>
      </c>
      <c r="X21" s="31">
        <f>100*((((W21/100)-((W21/100)-0.03574)*$E$25)-0.03574-0.00619)/0.344)</f>
        <v>31.362150055989019</v>
      </c>
      <c r="Y21">
        <v>0</v>
      </c>
      <c r="Z21" s="31">
        <f>X21+Y21</f>
        <v>31.362150055989019</v>
      </c>
      <c r="AA21" s="31">
        <f>100*($E$21*$E$23+($E$22*(Z21/100))/(1-$E$25))</f>
        <v>25.919354472903049</v>
      </c>
      <c r="AB21" s="32">
        <f>AA21/U21</f>
        <v>9.516090880205616E-2</v>
      </c>
      <c r="AC21" s="30">
        <f>$E$12/(1-AB21)</f>
        <v>2084262.0089984345</v>
      </c>
      <c r="AD21" t="str">
        <f>IF(OR(OR(AC21=AC15,AC21=(AC15+1)),AC21=(AC7-1)),"yes","not yet")</f>
        <v>not yet</v>
      </c>
      <c r="AE21" s="31">
        <f>100*(1-AB21)</f>
        <v>90.483909119794376</v>
      </c>
      <c r="AI21" t="str">
        <f>AD12</f>
        <v>not yet</v>
      </c>
      <c r="AJ21" t="str">
        <f>AD18</f>
        <v>not yet</v>
      </c>
      <c r="AK21" t="str">
        <f>AD24</f>
        <v>not yet</v>
      </c>
      <c r="AL21" t="str">
        <f>AD30</f>
        <v>not yet</v>
      </c>
      <c r="AM21" t="str">
        <f>AD36</f>
        <v>not yet</v>
      </c>
      <c r="AN21">
        <f>AC48</f>
        <v>2076863</v>
      </c>
      <c r="AO21">
        <f>AC54</f>
        <v>2076863</v>
      </c>
      <c r="AP21">
        <f>AC60</f>
        <v>2076863</v>
      </c>
    </row>
    <row r="22" spans="2:42">
      <c r="B22" s="34" t="s">
        <v>150</v>
      </c>
      <c r="C22" s="16" t="s">
        <v>173</v>
      </c>
      <c r="E22" s="40">
        <v>0.6</v>
      </c>
      <c r="F22" s="16" t="s">
        <v>174</v>
      </c>
      <c r="H22" s="46">
        <v>1.7999999999999999E-2</v>
      </c>
      <c r="I22" s="16" t="s">
        <v>150</v>
      </c>
      <c r="U22" s="31">
        <f>100*(+AC16/$E$13)</f>
        <v>271.90650571951835</v>
      </c>
      <c r="V22" s="35">
        <f>EXP(5.70827-(0.68367*LN(+U22)))</f>
        <v>6.5272540309911644</v>
      </c>
      <c r="W22" s="32">
        <f>(+V22*U22)/100</f>
        <v>17.748028355104481</v>
      </c>
      <c r="X22" s="31">
        <f>100*((((W22/100)-((W22/100)-0.03574)*$E$25)-0.03574-0.00619)/0.344)</f>
        <v>30.75140232712948</v>
      </c>
      <c r="Y22">
        <v>0</v>
      </c>
      <c r="Z22" s="31">
        <f>X22+Y22</f>
        <v>30.75140232712948</v>
      </c>
      <c r="AA22" s="31">
        <f>100*($E$21*$E$23+($E$22*(Z22/100))/(1-$E$25))</f>
        <v>25.455495438326185</v>
      </c>
      <c r="AB22" s="32">
        <f>AA22/U22</f>
        <v>9.361855969928308E-2</v>
      </c>
      <c r="AC22" s="30">
        <f>$E$12/(1-AB22)</f>
        <v>2080715.3127659343</v>
      </c>
      <c r="AD22" t="str">
        <f>IF(OR(OR(AC22=AC16,AC22=(AC16+1)),AC22=(AC16-1)),"yes","not yet")</f>
        <v>not yet</v>
      </c>
      <c r="AE22" s="31">
        <f>100*(1-AB22)</f>
        <v>90.638144030071686</v>
      </c>
    </row>
    <row r="23" spans="2:42">
      <c r="B23" s="34" t="s">
        <v>150</v>
      </c>
      <c r="C23" s="16" t="s">
        <v>175</v>
      </c>
      <c r="E23" s="41">
        <v>5.2499999999999998E-2</v>
      </c>
      <c r="F23" s="16" t="s">
        <v>176</v>
      </c>
      <c r="H23" s="77">
        <v>5.1000000000000004E-3</v>
      </c>
      <c r="I23" s="16" t="s">
        <v>150</v>
      </c>
      <c r="U23" s="31">
        <f>100*(+AC17/$E$13)</f>
        <v>271.591875830503</v>
      </c>
      <c r="V23" s="35">
        <f>EXP(5.6985-(0.68367*LN(U23)))</f>
        <v>6.4689117100108495</v>
      </c>
      <c r="W23" s="32">
        <f>(+V23*U23)/100</f>
        <v>17.569038659037535</v>
      </c>
      <c r="X23" s="31">
        <f>100*((((W23/100)-((W23/100)-0.03574)*$E$25)-0.03574-0.00619)/0.344)</f>
        <v>30.340350408836198</v>
      </c>
      <c r="Y23">
        <v>0</v>
      </c>
      <c r="Z23" s="31">
        <f>X23+Y23</f>
        <v>30.340350408836198</v>
      </c>
      <c r="AA23" s="31">
        <f>100*($E$21*$E$23+($E$22*(Z23/100))/(1-$E$25))</f>
        <v>25.14330410797686</v>
      </c>
      <c r="AB23" s="32">
        <f>AA23/U23</f>
        <v>9.2577526596077098E-2</v>
      </c>
      <c r="AC23" s="30">
        <f>$E$12/(1-AB23)</f>
        <v>2078328.2289296573</v>
      </c>
      <c r="AD23" t="str">
        <f>IF(OR(OR(AC23=AC17,AC23=(AC17+1)),AC23=(AC17-1)),"yes","not yet")</f>
        <v>not yet</v>
      </c>
      <c r="AE23" s="31">
        <f>100*(1-AB23)</f>
        <v>90.742247340392296</v>
      </c>
      <c r="AI23" t="str">
        <f>HLOOKUP(1,$AI$17:$AQ$21,$E$16+1)</f>
        <v>not yet</v>
      </c>
      <c r="AJ23" t="str">
        <f>HLOOKUP(2,$AI$17:$AQ$21,$E$16+1)</f>
        <v>not yet</v>
      </c>
      <c r="AK23" t="str">
        <f>HLOOKUP(3,$AI$17:$AQ$21,$E$16+1)</f>
        <v>not yet</v>
      </c>
      <c r="AL23" t="str">
        <f>HLOOKUP(4,$AI$17:$AQ$21,$E$16+1)</f>
        <v>not yet</v>
      </c>
      <c r="AM23" t="str">
        <f>HLOOKUP(5,$AI$17:$AQ$21,$E$16+1)</f>
        <v>not yet</v>
      </c>
      <c r="AN23">
        <f>HLOOKUP(7,$AI$17:$AQ$21,$E$16+1)</f>
        <v>2078390</v>
      </c>
      <c r="AO23">
        <f>HLOOKUP(8,$AI$17:$AQ$21,$E$16+1)</f>
        <v>2078390</v>
      </c>
      <c r="AP23">
        <f>HLOOKUP(9,$AI$17:$AQ$21,$E$16+1)</f>
        <v>2078390</v>
      </c>
    </row>
    <row r="24" spans="2:42">
      <c r="E24" s="39"/>
      <c r="F24" s="16" t="s">
        <v>177</v>
      </c>
      <c r="H24" s="46">
        <v>0</v>
      </c>
      <c r="I24" s="16" t="s">
        <v>150</v>
      </c>
      <c r="U24" s="31">
        <f>100*(+AC18/$E$13)</f>
        <v>271.39072801831423</v>
      </c>
      <c r="V24" s="35">
        <f>EXP(5.6922-(0.68367*LN(U24)))</f>
        <v>6.4315426226984034</v>
      </c>
      <c r="W24" s="32">
        <f>(+V24*U24)/100</f>
        <v>17.454610346549376</v>
      </c>
      <c r="X24" s="31">
        <f>100*((((W24/100)-((W24/100)-0.03574)*$E$25)-0.03574-0.00619)/0.344)</f>
        <v>30.077564458645373</v>
      </c>
      <c r="Y24">
        <v>0</v>
      </c>
      <c r="Z24" s="31">
        <f>X24+Y24</f>
        <v>30.077564458645373</v>
      </c>
      <c r="AA24" s="31">
        <f>100*($E$21*$E$23+($E$22*(Z24/100))/(1-$E$25))</f>
        <v>24.943719842009145</v>
      </c>
      <c r="AB24" s="32">
        <f>AA24/U24</f>
        <v>9.1910729685377723E-2</v>
      </c>
      <c r="AC24" s="30">
        <f>$E$12/(1-AB24)</f>
        <v>2076802.1423567045</v>
      </c>
      <c r="AD24" t="str">
        <f>IF(OR(OR(AC24=AC18,AC24=(AC18+1)),AC24=(AC18-1)),"yes","not yet")</f>
        <v>not yet</v>
      </c>
      <c r="AE24" s="31">
        <f>100*(1-AB24)</f>
        <v>90.808927031462233</v>
      </c>
      <c r="AH24">
        <v>1</v>
      </c>
      <c r="AI24" s="31">
        <f>AE9</f>
        <v>91.178448910754241</v>
      </c>
      <c r="AJ24" s="31">
        <f>AE15</f>
        <v>90.435814173942646</v>
      </c>
      <c r="AK24" s="31">
        <f>AE21</f>
        <v>90.483909119794376</v>
      </c>
      <c r="AL24" s="31">
        <f>AE27</f>
        <v>90.480789291599166</v>
      </c>
      <c r="AM24" s="31">
        <f>AE33</f>
        <v>90.480991647564508</v>
      </c>
      <c r="AN24" s="31" t="str">
        <f>AD45</f>
        <v>not yet</v>
      </c>
      <c r="AO24" s="31" t="str">
        <f>AD51</f>
        <v>yes</v>
      </c>
      <c r="AP24" s="31" t="str">
        <f>AD57</f>
        <v>not yet</v>
      </c>
    </row>
    <row r="25" spans="2:42">
      <c r="B25" s="34" t="s">
        <v>150</v>
      </c>
      <c r="C25" s="16" t="s">
        <v>178</v>
      </c>
      <c r="E25" s="40">
        <v>0.21</v>
      </c>
      <c r="F25" s="16" t="s">
        <v>179</v>
      </c>
      <c r="H25" s="46">
        <v>1.2E-2</v>
      </c>
      <c r="I25" s="16" t="s">
        <v>150</v>
      </c>
      <c r="Z25" s="31"/>
      <c r="AH25">
        <v>2</v>
      </c>
      <c r="AI25" s="31">
        <f>AE10</f>
        <v>91.329376690901057</v>
      </c>
      <c r="AJ25" s="31">
        <f>AE16</f>
        <v>90.591292133801659</v>
      </c>
      <c r="AK25" s="31">
        <f>AE22</f>
        <v>90.638144030071686</v>
      </c>
      <c r="AL25" s="31">
        <f>AE28</f>
        <v>90.635165140701559</v>
      </c>
      <c r="AM25" s="31">
        <f>AE34</f>
        <v>90.635354521804018</v>
      </c>
      <c r="AN25" s="31" t="str">
        <f>AD46</f>
        <v>yes</v>
      </c>
      <c r="AO25" s="31" t="str">
        <f>AD52</f>
        <v>yes</v>
      </c>
      <c r="AP25" s="31" t="str">
        <f>AD58</f>
        <v>yes</v>
      </c>
    </row>
    <row r="26" spans="2:42">
      <c r="H26" s="37" t="s">
        <v>152</v>
      </c>
      <c r="U26" s="16" t="s">
        <v>180</v>
      </c>
      <c r="V26" s="2" t="s">
        <v>133</v>
      </c>
      <c r="W26" s="2" t="s">
        <v>134</v>
      </c>
      <c r="X26" s="2" t="s">
        <v>135</v>
      </c>
      <c r="Z26" s="31"/>
      <c r="AH26">
        <v>3</v>
      </c>
      <c r="AI26" s="31">
        <f>AE11</f>
        <v>91.431044232160758</v>
      </c>
      <c r="AJ26" s="31">
        <f>AE17</f>
        <v>90.696239043950044</v>
      </c>
      <c r="AK26" s="31">
        <f>AE23</f>
        <v>90.742247340392296</v>
      </c>
      <c r="AL26" s="31">
        <f>AE29</f>
        <v>90.739361944061955</v>
      </c>
      <c r="AM26" s="31">
        <f>AE35</f>
        <v>90.73954288236888</v>
      </c>
      <c r="AN26" s="31" t="str">
        <f>AD47</f>
        <v>yes</v>
      </c>
      <c r="AO26" s="31" t="str">
        <f>AD53</f>
        <v>yes</v>
      </c>
      <c r="AP26" s="31" t="str">
        <f>AD59</f>
        <v>yes</v>
      </c>
    </row>
    <row r="27" spans="2:42">
      <c r="F27" s="16" t="s">
        <v>181</v>
      </c>
      <c r="H27" s="29">
        <f>SUM(H22:H25)</f>
        <v>3.5099999999999999E-2</v>
      </c>
      <c r="U27" s="31">
        <f>100*(+AC21/$E$13)</f>
        <v>272.22919447596558</v>
      </c>
      <c r="V27" s="35">
        <f>EXP(5.7226-(0.68367*LN(+U27)))</f>
        <v>6.6160959826954278</v>
      </c>
      <c r="W27" s="32">
        <f>(+V27*U27)/100</f>
        <v>18.010944799448481</v>
      </c>
      <c r="X27" s="31">
        <f>100*((((W27/100)-((W27/100)-0.03574)*$E$25)-0.03574-0.00619)/0.344)</f>
        <v>31.355192998733433</v>
      </c>
      <c r="Y27">
        <v>0</v>
      </c>
      <c r="Z27" s="31">
        <f>X27+Y27</f>
        <v>31.355192998733433</v>
      </c>
      <c r="AA27" s="31">
        <f>100*($E$21*$E$23+($E$22*(Z27/100))/(1-$E$25))</f>
        <v>25.914070631949443</v>
      </c>
      <c r="AB27" s="32">
        <f>AA27/U27</f>
        <v>9.5192107084008326E-2</v>
      </c>
      <c r="AC27" s="30">
        <f>$E$12/(1-AB27)</f>
        <v>2084333.8755176459</v>
      </c>
      <c r="AD27" t="str">
        <f>IF(OR(OR(AC27=AC21,AC27=(AC21+1)),AC27=(AC13-1)),"yes","not yet")</f>
        <v>not yet</v>
      </c>
      <c r="AE27" s="31">
        <f>100*(1-AB27)</f>
        <v>90.480789291599166</v>
      </c>
      <c r="AH27">
        <v>4</v>
      </c>
      <c r="AI27" s="31">
        <f>AE12</f>
        <v>91.496077824027267</v>
      </c>
      <c r="AJ27" s="31">
        <f>AE18</f>
        <v>90.763460758526122</v>
      </c>
      <c r="AK27" s="31">
        <f>AE24</f>
        <v>90.808927031462233</v>
      </c>
      <c r="AL27" s="31">
        <f>AE30</f>
        <v>90.806100807917588</v>
      </c>
      <c r="AM27" s="31">
        <f>AE36</f>
        <v>90.80627647072366</v>
      </c>
      <c r="AN27" s="31" t="str">
        <f>AD48</f>
        <v>yes</v>
      </c>
      <c r="AO27" s="31" t="str">
        <f>AD54</f>
        <v>yes</v>
      </c>
      <c r="AP27" s="31" t="str">
        <f>AD60</f>
        <v>yes</v>
      </c>
    </row>
    <row r="28" spans="2:42">
      <c r="U28" s="31">
        <f>100*(+AC22/$E$13)</f>
        <v>271.76595412794018</v>
      </c>
      <c r="V28" s="35">
        <f>EXP(5.70827-(0.68367*LN(+U28)))</f>
        <v>6.5295617463401792</v>
      </c>
      <c r="W28" s="32">
        <f>(+V28*U28)/100</f>
        <v>17.745125780314382</v>
      </c>
      <c r="X28" s="31">
        <f>100*((((W28/100)-((W28/100)-0.03574)*$E$25)-0.03574-0.00619)/0.344)</f>
        <v>30.744736530373153</v>
      </c>
      <c r="Y28">
        <v>0</v>
      </c>
      <c r="Z28" s="31">
        <f>X28+Y28</f>
        <v>30.744736530373153</v>
      </c>
      <c r="AA28" s="31">
        <f>100*($E$21*$E$23+($E$22*(Z28/100))/(1-$E$25))</f>
        <v>25.450432807878343</v>
      </c>
      <c r="AB28" s="32">
        <f>AA28/U28</f>
        <v>9.3648348592984376E-2</v>
      </c>
      <c r="AC28" s="30">
        <f>$E$12/(1-AB28)</f>
        <v>2080783.6992549736</v>
      </c>
      <c r="AD28" t="str">
        <f>IF(OR(OR(AC28=AC22,AC28=(AC22+1)),AC28=(AC22-1)),"yes","not yet")</f>
        <v>not yet</v>
      </c>
      <c r="AE28" s="31">
        <f>100*(1-AB28)</f>
        <v>90.635165140701559</v>
      </c>
    </row>
    <row r="29" spans="2:42">
      <c r="F29" s="16" t="s">
        <v>182</v>
      </c>
      <c r="H29" s="32">
        <f>((+H19/100)-H27)</f>
        <v>0.87229542882368882</v>
      </c>
      <c r="U29" s="31">
        <f>100*(+AC23/$E$13)</f>
        <v>271.45417283216705</v>
      </c>
      <c r="V29" s="35">
        <f>EXP(5.6985-(0.68367*LN(U29)))</f>
        <v>6.4711550225441874</v>
      </c>
      <c r="W29" s="32">
        <f>(+V29*U29)/100</f>
        <v>17.566220339134556</v>
      </c>
      <c r="X29" s="31">
        <f>100*((((W29/100)-((W29/100)-0.03574)*$E$25)-0.03574-0.00619)/0.344)</f>
        <v>30.333878104407852</v>
      </c>
      <c r="Y29">
        <v>0</v>
      </c>
      <c r="Z29" s="31">
        <f>X29+Y29</f>
        <v>30.333878104407852</v>
      </c>
      <c r="AA29" s="31">
        <f>100*($E$21*$E$23+($E$22*(Z29/100))/(1-$E$25))</f>
        <v>25.138388433727481</v>
      </c>
      <c r="AB29" s="32">
        <f>AA29/U29</f>
        <v>9.2606380559380405E-2</v>
      </c>
      <c r="AC29" s="30">
        <f>$E$12/(1-AB29)</f>
        <v>2078394.3171246422</v>
      </c>
      <c r="AD29" t="str">
        <f>IF(OR(OR(AC29=AC23,AC29=(AC23+1)),AC29=(AC23-1)),"yes","not yet")</f>
        <v>not yet</v>
      </c>
      <c r="AE29" s="31">
        <f>100*(1-AB29)</f>
        <v>90.739361944061955</v>
      </c>
      <c r="AI29" s="16" t="s">
        <v>183</v>
      </c>
    </row>
    <row r="30" spans="2:42">
      <c r="U30" s="31">
        <f>100*(+AC24/$E$13)</f>
        <v>271.25484793123718</v>
      </c>
      <c r="V30" s="35">
        <f>EXP(5.6922-(0.68367*LN(U30)))</f>
        <v>6.4337450702757133</v>
      </c>
      <c r="W30" s="32">
        <f>(+V30*U30)/100</f>
        <v>17.451845406659853</v>
      </c>
      <c r="X30" s="31">
        <f>100*((((W30/100)-((W30/100)-0.03574)*$E$25)-0.03574-0.00619)/0.344)</f>
        <v>30.07121474203862</v>
      </c>
      <c r="Y30">
        <v>0</v>
      </c>
      <c r="Z30" s="31">
        <f>X30+Y30</f>
        <v>30.07121474203862</v>
      </c>
      <c r="AA30" s="31">
        <f>100*($E$21*$E$23+($E$22*(Z30/100))/(1-$E$25))</f>
        <v>24.938897272434392</v>
      </c>
      <c r="AB30" s="32">
        <f>AA30/U30</f>
        <v>9.1938991920824123E-2</v>
      </c>
      <c r="AC30" s="30">
        <f>$E$12/(1-AB30)</f>
        <v>2076866.7801625354</v>
      </c>
      <c r="AD30" t="str">
        <f>IF(OR(OR(AC30=AC24,AC30=(AC24+1)),AC30=(AC24-1)),"yes","not yet")</f>
        <v>not yet</v>
      </c>
      <c r="AE30" s="31">
        <f>100*(1-AB30)</f>
        <v>90.806100807917588</v>
      </c>
      <c r="AI30" s="31">
        <f>HLOOKUP($AI$29,$AI$23:$AQ$27,$E$16+1)</f>
        <v>90.73954288236888</v>
      </c>
    </row>
    <row r="31" spans="2:42">
      <c r="E31" s="30"/>
      <c r="Z31" s="31"/>
    </row>
    <row r="32" spans="2:42">
      <c r="U32" s="16" t="s">
        <v>184</v>
      </c>
      <c r="V32" s="2" t="s">
        <v>133</v>
      </c>
      <c r="W32" s="2" t="s">
        <v>134</v>
      </c>
      <c r="X32" s="2" t="s">
        <v>135</v>
      </c>
      <c r="Z32" s="31"/>
      <c r="AI32" t="str">
        <f>HLOOKUP(1,$AI$17:$AQ$21,$E$16+1)</f>
        <v>not yet</v>
      </c>
      <c r="AJ32" t="str">
        <f>HLOOKUP(2,$AI$17:$AQ$21,$E$16+1)</f>
        <v>not yet</v>
      </c>
      <c r="AK32" t="str">
        <f>HLOOKUP(3,$AI$17:$AQ$21,$E$16+1)</f>
        <v>not yet</v>
      </c>
      <c r="AL32" t="str">
        <f>HLOOKUP(4,$AI$17:$AQ$21,$E$16+1)</f>
        <v>not yet</v>
      </c>
      <c r="AM32" t="str">
        <f>HLOOKUP(5,$AI$17:$AQ$21,$E$16+1)</f>
        <v>not yet</v>
      </c>
      <c r="AN32">
        <f>HLOOKUP(7,$AI$17:$AQ$21,$E$16+1)</f>
        <v>2078390</v>
      </c>
      <c r="AO32">
        <f>HLOOKUP(8,$AI$17:$AQ$21,$E$16+1)</f>
        <v>2078390</v>
      </c>
      <c r="AP32">
        <f>HLOOKUP(9,$AI$17:$AQ$21,$E$16+1)</f>
        <v>2078390</v>
      </c>
    </row>
    <row r="33" spans="5:42">
      <c r="E33" s="30"/>
      <c r="U33" s="31">
        <f>100*(+AC27/$E$13)</f>
        <v>272.2385810907723</v>
      </c>
      <c r="V33" s="35">
        <f>EXP(5.7226-(0.68367*LN(+U33)))</f>
        <v>6.6159400238496424</v>
      </c>
      <c r="W33" s="32">
        <f>(+V33*U33)/100</f>
        <v>18.011141246744771</v>
      </c>
      <c r="X33" s="31">
        <f>100*((((W33/100)-((W33/100)-0.03574)*$E$25)-0.03574-0.00619)/0.344)</f>
        <v>31.355644142233636</v>
      </c>
      <c r="Y33">
        <v>0</v>
      </c>
      <c r="Z33" s="31">
        <f>X33+Y33</f>
        <v>31.355644142233636</v>
      </c>
      <c r="AA33" s="31">
        <f>100*($E$21*$E$23+($E$22*(Z33/100))/(1-$E$25))</f>
        <v>25.914413272582504</v>
      </c>
      <c r="AB33" s="32">
        <f>AA33/U33</f>
        <v>9.5190083524354985E-2</v>
      </c>
      <c r="AC33" s="30">
        <f>$E$12/(1-AB33)</f>
        <v>2084329.2140148729</v>
      </c>
      <c r="AD33" t="str">
        <f>IF(OR(OR(AC33=AC27,AC33=(AC27+1)),AC33=(AC19-1)),"yes","not yet")</f>
        <v>not yet</v>
      </c>
      <c r="AE33" s="31">
        <f>100*(1-AB33)</f>
        <v>90.480991647564508</v>
      </c>
      <c r="AH33">
        <v>1</v>
      </c>
      <c r="AI33" s="31">
        <f>U9</f>
        <v>307.90452115897625</v>
      </c>
      <c r="AJ33" s="31">
        <f>U15</f>
        <v>270.15552454537072</v>
      </c>
      <c r="AK33" s="31">
        <f>U21</f>
        <v>272.37396951323569</v>
      </c>
      <c r="AL33" s="31">
        <f>U27</f>
        <v>272.22919447596558</v>
      </c>
      <c r="AM33" s="31">
        <f>U33</f>
        <v>272.2385810907723</v>
      </c>
      <c r="AN33" s="31">
        <f>T45</f>
        <v>0</v>
      </c>
      <c r="AO33" s="31">
        <f>T51</f>
        <v>0</v>
      </c>
      <c r="AP33" s="31">
        <f>T57</f>
        <v>0</v>
      </c>
    </row>
    <row r="34" spans="5:42">
      <c r="E34" s="30"/>
      <c r="U34" s="31">
        <f>100*(+AC28/$E$13)</f>
        <v>271.77488620977243</v>
      </c>
      <c r="V34" s="35">
        <f>EXP(5.70827-(0.68367*LN(+U34)))</f>
        <v>6.5294150307771863</v>
      </c>
      <c r="W34" s="32">
        <f>(+V34*U34)/100</f>
        <v>17.745310270058475</v>
      </c>
      <c r="X34" s="31">
        <f>100*((((W34/100)-((W34/100)-0.03574)*$E$25)-0.03574-0.00619)/0.344)</f>
        <v>30.745160213215687</v>
      </c>
      <c r="Y34">
        <v>0</v>
      </c>
      <c r="Z34" s="31">
        <f>X34+Y34</f>
        <v>30.745160213215687</v>
      </c>
      <c r="AA34" s="31">
        <f>100*($E$21*$E$23+($E$22*(Z34/100))/(1-$E$25))</f>
        <v>25.450754592315711</v>
      </c>
      <c r="AB34" s="32">
        <f>AA34/U34</f>
        <v>9.3646454781959751E-2</v>
      </c>
      <c r="AC34" s="30">
        <f>$E$12/(1-AB34)</f>
        <v>2080779.3514912003</v>
      </c>
      <c r="AD34" t="str">
        <f>IF(OR(OR(AC34=AC28,AC34=(AC28+1)),AC34=(AC28-1)),"yes","not yet")</f>
        <v>not yet</v>
      </c>
      <c r="AE34" s="31">
        <f>100*(1-AB34)</f>
        <v>90.635354521804018</v>
      </c>
      <c r="AH34">
        <v>2</v>
      </c>
      <c r="AI34" s="31">
        <f>U10</f>
        <v>307.90452115897625</v>
      </c>
      <c r="AJ34" s="31">
        <f>U16</f>
        <v>269.7090748367296</v>
      </c>
      <c r="AK34" s="31">
        <f>U22</f>
        <v>271.90650571951835</v>
      </c>
      <c r="AL34" s="31">
        <f>U28</f>
        <v>271.76595412794018</v>
      </c>
      <c r="AM34" s="31">
        <f>U34</f>
        <v>271.77488620977243</v>
      </c>
      <c r="AN34" s="31">
        <f>T46</f>
        <v>0</v>
      </c>
      <c r="AO34" s="31">
        <f>T52</f>
        <v>0</v>
      </c>
      <c r="AP34" s="31">
        <f>T58</f>
        <v>0</v>
      </c>
    </row>
    <row r="35" spans="5:42">
      <c r="E35" s="30"/>
      <c r="U35" s="31">
        <f>100*(+AC29/$E$13)</f>
        <v>271.46280472969602</v>
      </c>
      <c r="V35" s="35">
        <f>EXP(5.6985-(0.68367*LN(U35)))</f>
        <v>6.4710143444567096</v>
      </c>
      <c r="W35" s="32">
        <f>(+V35*U35)/100</f>
        <v>17.566397033923135</v>
      </c>
      <c r="X35" s="31">
        <f>100*((((W35/100)-((W35/100)-0.03574)*$E$25)-0.03574-0.00619)/0.344)</f>
        <v>30.33428388604441</v>
      </c>
      <c r="Y35">
        <v>0</v>
      </c>
      <c r="Z35" s="31">
        <f>X35+Y35</f>
        <v>30.33428388604441</v>
      </c>
      <c r="AA35" s="31">
        <f>100*($E$21*$E$23+($E$22*(Z35/100))/(1-$E$25))</f>
        <v>25.138696622312207</v>
      </c>
      <c r="AB35" s="32">
        <f>AA35/U35</f>
        <v>9.2604571176311212E-2</v>
      </c>
      <c r="AC35" s="30">
        <f>$E$12/(1-AB35)</f>
        <v>2078390.1727225778</v>
      </c>
      <c r="AD35" t="str">
        <f>IF(OR(OR(AC35=AC29,AC35=(AC29+1)),AC35=(AC29-1)),"yes","not yet")</f>
        <v>not yet</v>
      </c>
      <c r="AE35" s="31">
        <f>100*(1-AB35)</f>
        <v>90.73954288236888</v>
      </c>
      <c r="AH35">
        <v>3</v>
      </c>
      <c r="AI35" s="31">
        <f>U11</f>
        <v>307.90452115897625</v>
      </c>
      <c r="AJ35" s="31">
        <f>U17</f>
        <v>269.40916949577718</v>
      </c>
      <c r="AK35" s="31">
        <f>U23</f>
        <v>271.591875830503</v>
      </c>
      <c r="AL35" s="31">
        <f>U29</f>
        <v>271.45417283216705</v>
      </c>
      <c r="AM35" s="31">
        <f>U35</f>
        <v>271.46280472969602</v>
      </c>
      <c r="AN35" s="31">
        <f>T47</f>
        <v>0</v>
      </c>
      <c r="AO35" s="31">
        <f>T53</f>
        <v>0</v>
      </c>
      <c r="AP35" s="31">
        <f>T59</f>
        <v>0</v>
      </c>
    </row>
    <row r="36" spans="5:42">
      <c r="E36" s="30"/>
      <c r="U36" s="31">
        <f>100*(+AC30/$E$13)</f>
        <v>271.26329039084067</v>
      </c>
      <c r="V36" s="35">
        <f>EXP(5.6922-(0.68367*LN(U36)))</f>
        <v>6.4336081743649975</v>
      </c>
      <c r="W36" s="32">
        <f>(+V36*U36)/100</f>
        <v>17.452017224636585</v>
      </c>
      <c r="X36" s="31">
        <f>100*((((W36/100)-((W36/100)-0.03574)*$E$25)-0.03574-0.00619)/0.344)</f>
        <v>30.071609324020066</v>
      </c>
      <c r="Y36">
        <v>0</v>
      </c>
      <c r="Z36" s="31">
        <f>X36+Y36</f>
        <v>30.071609324020066</v>
      </c>
      <c r="AA36" s="31">
        <f>100*($E$21*$E$23+($E$22*(Z36/100))/(1-$E$25))</f>
        <v>24.939196954951946</v>
      </c>
      <c r="AB36" s="32">
        <f>AA36/U36</f>
        <v>9.1937235292763486E-2</v>
      </c>
      <c r="AC36" s="30">
        <f>$E$12/(1-AB36)</f>
        <v>2076862.7625080228</v>
      </c>
      <c r="AD36" t="str">
        <f>IF(OR(OR(AC36=AC30,AC36=(AC30+1)),AC36=(AC30-1)),"yes","not yet")</f>
        <v>not yet</v>
      </c>
      <c r="AE36" s="31">
        <f>100*(1-AB36)</f>
        <v>90.80627647072366</v>
      </c>
      <c r="AH36">
        <v>4</v>
      </c>
      <c r="AI36" s="31">
        <f>U12</f>
        <v>307.90452115897625</v>
      </c>
      <c r="AJ36" s="31">
        <f>U18</f>
        <v>269.21767881780761</v>
      </c>
      <c r="AK36" s="31">
        <f>U24</f>
        <v>271.39072801831423</v>
      </c>
      <c r="AL36" s="31">
        <f>U30</f>
        <v>271.25484793123718</v>
      </c>
      <c r="AM36" s="31">
        <f>U36</f>
        <v>271.26329039084067</v>
      </c>
      <c r="AN36" s="31">
        <f>T48</f>
        <v>0</v>
      </c>
      <c r="AO36" s="31">
        <f>T54</f>
        <v>0</v>
      </c>
      <c r="AP36" s="31">
        <f>T60</f>
        <v>0</v>
      </c>
    </row>
    <row r="37" spans="5:42">
      <c r="E37" s="30"/>
      <c r="Z37" s="31"/>
    </row>
    <row r="38" spans="5:42">
      <c r="U38" s="16" t="s">
        <v>185</v>
      </c>
      <c r="V38" s="2" t="s">
        <v>133</v>
      </c>
      <c r="W38" s="2" t="s">
        <v>134</v>
      </c>
      <c r="X38" s="2" t="s">
        <v>135</v>
      </c>
      <c r="Z38" s="31"/>
      <c r="AI38" s="16" t="s">
        <v>183</v>
      </c>
    </row>
    <row r="39" spans="5:42">
      <c r="U39" s="31">
        <f>100*(+AC33/$E$13)</f>
        <v>272.23797224354507</v>
      </c>
      <c r="V39" s="35">
        <f>EXP(5.7226-(0.68367*LN(+U39)))</f>
        <v>6.6159501395873583</v>
      </c>
      <c r="W39" s="32">
        <f>(+V39*U39)/100</f>
        <v>18.011128504656615</v>
      </c>
      <c r="X39" s="31">
        <f>100*((((W39/100)-((W39/100)-0.03574)*$E$25)-0.03574-0.00619)/0.344)</f>
        <v>31.355614879880022</v>
      </c>
      <c r="Y39">
        <v>0</v>
      </c>
      <c r="Z39" s="31">
        <f>X39+Y39</f>
        <v>31.355614879880022</v>
      </c>
      <c r="AA39" s="31">
        <f>100*($E$21*$E$23+($E$22*(Z39/100))/(1-$E$25))</f>
        <v>25.914391048010145</v>
      </c>
      <c r="AB39" s="32">
        <f>AA39/U39</f>
        <v>9.51902147758691E-2</v>
      </c>
      <c r="AC39" s="30">
        <f>ROUND($E$12/(1-AB39),0)</f>
        <v>2084330</v>
      </c>
      <c r="AD39" t="str">
        <f>IF(OR(OR(AC39=AC33,AC39=(AC33+1)),AC39=(AC25-1)),"yes","not yet")</f>
        <v>not yet</v>
      </c>
      <c r="AE39" s="31">
        <f>100*(1-AB39)</f>
        <v>90.480978522413096</v>
      </c>
      <c r="AI39" s="31">
        <f>HLOOKUP($AI$38,$AI$32:$AQ$36,$E$16+1)</f>
        <v>271.46280472969602</v>
      </c>
    </row>
    <row r="40" spans="5:42">
      <c r="U40" s="31">
        <f>100*(+AC34/$E$13)</f>
        <v>271.77431834055801</v>
      </c>
      <c r="V40" s="35">
        <f>EXP(5.70827-(0.68367*LN(+U40)))</f>
        <v>6.5294243581763824</v>
      </c>
      <c r="W40" s="32">
        <f>(+V40*U40)/100</f>
        <v>17.745298540996217</v>
      </c>
      <c r="X40" s="31">
        <f>100*((((W40/100)-((W40/100)-0.03574)*$E$25)-0.03574-0.00619)/0.344)</f>
        <v>30.745133277287824</v>
      </c>
      <c r="Y40">
        <v>0</v>
      </c>
      <c r="Z40" s="31">
        <f>X40+Y40</f>
        <v>30.745133277287824</v>
      </c>
      <c r="AA40" s="31">
        <f>100*($E$21*$E$23+($E$22*(Z40/100))/(1-$E$25))</f>
        <v>25.450734134648979</v>
      </c>
      <c r="AB40" s="32">
        <f>AA40/U40</f>
        <v>9.3646575180650019E-2</v>
      </c>
      <c r="AC40" s="30">
        <f>ROUND($E$12/(1-AB40),0)</f>
        <v>2080780</v>
      </c>
      <c r="AD40" t="str">
        <f>IF(OR(OR(AC40=AC34,AC40=(AC34+1)),AC40=(AC34-1)),"yes","not yet")</f>
        <v>not yet</v>
      </c>
      <c r="AE40" s="31">
        <f>100*(1-AB40)</f>
        <v>90.635342481934998</v>
      </c>
    </row>
    <row r="41" spans="5:42">
      <c r="U41" s="31">
        <f>100*(+AC35/$E$13)</f>
        <v>271.46226342191858</v>
      </c>
      <c r="V41" s="35">
        <f>EXP(5.6985-(0.68367*LN(U41)))</f>
        <v>6.4710231661824071</v>
      </c>
      <c r="W41" s="32">
        <f>(+V41*U41)/100</f>
        <v>17.566385953475461</v>
      </c>
      <c r="X41" s="31">
        <f>100*((((W41/100)-((W41/100)-0.03574)*$E$25)-0.03574-0.00619)/0.344)</f>
        <v>30.33425843966749</v>
      </c>
      <c r="Y41">
        <v>0</v>
      </c>
      <c r="Z41" s="31">
        <f>X41+Y41</f>
        <v>30.33425843966749</v>
      </c>
      <c r="AA41" s="31">
        <f>100*($E$21*$E$23+($E$22*(Z41/100))/(1-$E$25))</f>
        <v>25.138677295949989</v>
      </c>
      <c r="AB41" s="32">
        <f>AA41/U41</f>
        <v>9.2604684640377993E-2</v>
      </c>
      <c r="AC41" s="30">
        <f>ROUND($E$12/(1-AB41),0)</f>
        <v>2078390</v>
      </c>
      <c r="AD41" t="str">
        <f>IF(OR(OR(AC41=AC35,AC41=(AC35+1)),AC41=(AC35-1)),"yes","not yet")</f>
        <v>not yet</v>
      </c>
      <c r="AE41" s="31">
        <f>100*(1-AB41)</f>
        <v>90.7395315359622</v>
      </c>
      <c r="AI41" t="str">
        <f>HLOOKUP(1,$AI$17:$AQ$21,$E$16+1)</f>
        <v>not yet</v>
      </c>
      <c r="AJ41" t="str">
        <f>HLOOKUP(2,$AI$17:$AQ$21,$E$16+1)</f>
        <v>not yet</v>
      </c>
      <c r="AK41" t="str">
        <f>HLOOKUP(3,$AI$17:$AQ$21,$E$16+1)</f>
        <v>not yet</v>
      </c>
      <c r="AL41" t="str">
        <f>HLOOKUP(4,$AI$17:$AQ$21,$E$16+1)</f>
        <v>not yet</v>
      </c>
      <c r="AM41" t="str">
        <f>HLOOKUP(5,$AI$17:$AQ$21,$E$16+1)</f>
        <v>not yet</v>
      </c>
      <c r="AN41">
        <f>HLOOKUP(7,$AI$17:$AQ$21,$E$16+1)</f>
        <v>2078390</v>
      </c>
      <c r="AO41">
        <f>HLOOKUP(8,$AI$17:$AQ$21,$E$16+1)</f>
        <v>2078390</v>
      </c>
      <c r="AP41">
        <f>HLOOKUP(9,$AI$17:$AQ$21,$E$16+1)</f>
        <v>2078390</v>
      </c>
    </row>
    <row r="42" spans="5:42">
      <c r="U42" s="31">
        <f>100*(+AC36/$E$13)</f>
        <v>271.26276563778811</v>
      </c>
      <c r="V42" s="35">
        <f>EXP(5.6922-(0.68367*LN(U42)))</f>
        <v>6.4336166831154395</v>
      </c>
      <c r="W42" s="32">
        <f>(+V42*U42)/100</f>
        <v>17.452006545153072</v>
      </c>
      <c r="X42" s="31">
        <f>100*((((W42/100)-((W42/100)-0.03574)*$E$25)-0.03574-0.00619)/0.344)</f>
        <v>30.071584798462002</v>
      </c>
      <c r="Y42">
        <v>0</v>
      </c>
      <c r="Z42" s="31">
        <f>X42+Y42</f>
        <v>30.071584798462002</v>
      </c>
      <c r="AA42" s="31">
        <f>100*($E$21*$E$23+($E$22*(Z42/100))/(1-$E$25))</f>
        <v>24.939178327945825</v>
      </c>
      <c r="AB42" s="32">
        <f>AA42/U42</f>
        <v>9.193734447597067E-2</v>
      </c>
      <c r="AC42" s="30">
        <f>ROUND($E$12/(1-AB42),0)</f>
        <v>2076863</v>
      </c>
      <c r="AD42" t="str">
        <f>IF(OR(OR(AC42=AC36,AC42=(AC36+1)),AC42=(AC36-1)),"yes","not yet")</f>
        <v>not yet</v>
      </c>
      <c r="AE42" s="31">
        <f>100*(1-AB42)</f>
        <v>90.806265552402934</v>
      </c>
      <c r="AH42">
        <v>1</v>
      </c>
      <c r="AI42" s="30">
        <f>AC9</f>
        <v>2068385.4184517772</v>
      </c>
      <c r="AJ42" s="30">
        <f>AC15</f>
        <v>2085370.4467272174</v>
      </c>
      <c r="AK42" s="30">
        <f>AC21</f>
        <v>2084262.0089984345</v>
      </c>
      <c r="AL42" s="30">
        <f>AC27</f>
        <v>2084333.8755176459</v>
      </c>
      <c r="AM42" s="30">
        <f>AC33</f>
        <v>2084329.2140148729</v>
      </c>
      <c r="AN42" s="30">
        <f>AB45</f>
        <v>9.5190192645261434E-2</v>
      </c>
      <c r="AO42" s="30">
        <f>AB51</f>
        <v>9.5190220801785838E-2</v>
      </c>
      <c r="AP42" s="30">
        <f>AB57</f>
        <v>9.5190192645261434E-2</v>
      </c>
    </row>
    <row r="43" spans="5:42">
      <c r="Z43" s="31"/>
      <c r="AH43">
        <v>2</v>
      </c>
      <c r="AI43" s="30">
        <f>AC10</f>
        <v>2064967.2759985388</v>
      </c>
      <c r="AJ43" s="30">
        <f>AC16</f>
        <v>2081791.4146263336</v>
      </c>
      <c r="AK43" s="30">
        <f>AC22</f>
        <v>2080715.3127659343</v>
      </c>
      <c r="AL43" s="30">
        <f>AC28</f>
        <v>2080783.6992549736</v>
      </c>
      <c r="AM43" s="30">
        <f>AC34</f>
        <v>2080779.3514912003</v>
      </c>
      <c r="AN43" s="30">
        <f>AB46</f>
        <v>9.3646557222057267E-2</v>
      </c>
      <c r="AO43" s="30">
        <f>AB52</f>
        <v>9.3646557222057267E-2</v>
      </c>
      <c r="AP43" s="30">
        <f>AB58</f>
        <v>9.3646557222057267E-2</v>
      </c>
    </row>
    <row r="44" spans="5:42">
      <c r="U44" s="16" t="s">
        <v>186</v>
      </c>
      <c r="V44" s="2" t="s">
        <v>133</v>
      </c>
      <c r="W44" s="2" t="s">
        <v>134</v>
      </c>
      <c r="X44" s="2" t="s">
        <v>135</v>
      </c>
      <c r="Z44" s="31"/>
      <c r="AH44">
        <v>3</v>
      </c>
      <c r="AI44" s="30">
        <f>AC11</f>
        <v>2062671.1177571495</v>
      </c>
      <c r="AJ44" s="30">
        <f>AC17</f>
        <v>2079382.5211722997</v>
      </c>
      <c r="AK44" s="30">
        <f>AC23</f>
        <v>2078328.2289296573</v>
      </c>
      <c r="AL44" s="30">
        <f>AC29</f>
        <v>2078394.3171246422</v>
      </c>
      <c r="AM44" s="30">
        <f>AC35</f>
        <v>2078390.1727225778</v>
      </c>
      <c r="AN44" s="30">
        <f>AB47</f>
        <v>9.260468936912726E-2</v>
      </c>
      <c r="AO44" s="30">
        <f>AB53</f>
        <v>9.260468936912726E-2</v>
      </c>
      <c r="AP44" s="30">
        <f>AB59</f>
        <v>9.260468936912726E-2</v>
      </c>
    </row>
    <row r="45" spans="5:42">
      <c r="U45" s="31">
        <f>100*(+AC39/$E$13)</f>
        <v>272.23807490247043</v>
      </c>
      <c r="V45" s="35">
        <f>EXP(5.7226-(0.68367*LN(+U45)))</f>
        <v>6.6159484339503098</v>
      </c>
      <c r="W45" s="32">
        <f>(+V45*U45)/100</f>
        <v>18.011130653126465</v>
      </c>
      <c r="X45" s="31">
        <f>100*((((W45/100)-((W45/100)-0.03574)*$E$25)-0.03574-0.00619)/0.344)</f>
        <v>31.35561981386601</v>
      </c>
      <c r="Y45">
        <v>0</v>
      </c>
      <c r="Z45" s="31">
        <f>X45+Y45</f>
        <v>31.35561981386601</v>
      </c>
      <c r="AA45" s="31">
        <f>100*($E$21*$E$23+($E$22*(Z45/100))/(1-$E$25))</f>
        <v>25.914394795341273</v>
      </c>
      <c r="AB45" s="32">
        <f>AA45/U45</f>
        <v>9.5190192645261434E-2</v>
      </c>
      <c r="AC45" s="30">
        <f>ROUND($E$12/(1-AB45),0)</f>
        <v>2084329</v>
      </c>
      <c r="AD45" t="str">
        <f>IF(OR(OR(AC45=AC39,AC45=(AC39+1)),AC45=(AC31-1)),"yes","not yet")</f>
        <v>not yet</v>
      </c>
      <c r="AE45" s="31">
        <f>100*(1-AB45)</f>
        <v>90.480980735473864</v>
      </c>
      <c r="AH45">
        <v>4</v>
      </c>
      <c r="AI45" s="30">
        <f>AC12</f>
        <v>2061205.0121620544</v>
      </c>
      <c r="AJ45" s="30">
        <f>AC18</f>
        <v>2077842.4778865483</v>
      </c>
      <c r="AK45" s="30">
        <f>AC24</f>
        <v>2076802.1423567045</v>
      </c>
      <c r="AL45" s="30">
        <f>AC30</f>
        <v>2076866.7801625354</v>
      </c>
      <c r="AM45" s="30">
        <f>AC36</f>
        <v>2076862.7625080228</v>
      </c>
      <c r="AN45" s="30">
        <f>AB48</f>
        <v>9.193733802191327E-2</v>
      </c>
      <c r="AO45" s="30">
        <f>AB54</f>
        <v>9.193733802191327E-2</v>
      </c>
      <c r="AP45" s="30">
        <f>AB60</f>
        <v>9.193733802191327E-2</v>
      </c>
    </row>
    <row r="46" spans="5:42">
      <c r="U46" s="31">
        <f>100*(+AC40/$E$13)</f>
        <v>271.77440304345402</v>
      </c>
      <c r="V46" s="35">
        <f>EXP(5.70827-(0.68367*LN(+U46)))</f>
        <v>6.5294229669072577</v>
      </c>
      <c r="W46" s="32">
        <f>(+V46*U46)/100</f>
        <v>17.745300290494384</v>
      </c>
      <c r="X46" s="31">
        <f>100*((((W46/100)-((W46/100)-0.03574)*$E$25)-0.03574-0.00619)/0.344)</f>
        <v>30.745137295030712</v>
      </c>
      <c r="Y46">
        <v>0</v>
      </c>
      <c r="Z46" s="31">
        <f>X46+Y46</f>
        <v>30.745137295030712</v>
      </c>
      <c r="AA46" s="31">
        <f>100*($E$21*$E$23+($E$22*(Z46/100))/(1-$E$25))</f>
        <v>25.450737186099271</v>
      </c>
      <c r="AB46" s="32">
        <f>AA46/U46</f>
        <v>9.3646557222057267E-2</v>
      </c>
      <c r="AC46" s="30">
        <f>ROUND($E$12/(1-AB46),0)</f>
        <v>2080780</v>
      </c>
      <c r="AD46" t="str">
        <f>IF(OR(OR(AC46=AC40,AC46=(AC40+1)),AC46=(AC40-1)),"yes","not yet")</f>
        <v>yes</v>
      </c>
      <c r="AE46" s="31">
        <f>100*(1-AB46)</f>
        <v>90.635344277794275</v>
      </c>
    </row>
    <row r="47" spans="5:42">
      <c r="U47" s="31">
        <f>100*(+AC41/$E$13)</f>
        <v>271.46224086231337</v>
      </c>
      <c r="V47" s="35">
        <f>EXP(5.6985-(0.68367*LN(U47)))</f>
        <v>6.4710235338383075</v>
      </c>
      <c r="W47" s="32">
        <f>(+V47*U47)/100</f>
        <v>17.566385491685129</v>
      </c>
      <c r="X47" s="31">
        <f>100*((((W47/100)-((W47/100)-0.03574)*$E$25)-0.03574-0.00619)/0.344)</f>
        <v>30.334257379160618</v>
      </c>
      <c r="Y47">
        <v>0</v>
      </c>
      <c r="Z47" s="31">
        <f>X47+Y47</f>
        <v>30.334257379160618</v>
      </c>
      <c r="AA47" s="31">
        <f>100*($E$21*$E$23+($E$22*(Z47/100))/(1-$E$25))</f>
        <v>25.138676490501734</v>
      </c>
      <c r="AB47" s="32">
        <f>AA47/U47</f>
        <v>9.260468936912726E-2</v>
      </c>
      <c r="AC47" s="30">
        <f>ROUND($E$12/(1-AB47),0)</f>
        <v>2078390</v>
      </c>
      <c r="AD47" t="str">
        <f>IF(OR(OR(AC47=AC41,AC47=(AC41+1)),AC47=(AC41-1)),"yes","not yet")</f>
        <v>yes</v>
      </c>
      <c r="AE47" s="31">
        <f>100*(1-AB47)</f>
        <v>90.73953106308727</v>
      </c>
      <c r="AI47" s="16" t="s">
        <v>183</v>
      </c>
    </row>
    <row r="48" spans="5:42">
      <c r="U48" s="31">
        <f>100*(+AC42/$E$13)</f>
        <v>271.26279665704061</v>
      </c>
      <c r="V48" s="35">
        <f>EXP(5.6922-(0.68367*LN(U48)))</f>
        <v>6.4336161801445995</v>
      </c>
      <c r="W48" s="32">
        <f>(+V48*U48)/100</f>
        <v>17.452007176440109</v>
      </c>
      <c r="X48" s="31">
        <f>100*((((W48/100)-((W48/100)-0.03574)*$E$25)-0.03574-0.00619)/0.344)</f>
        <v>30.071586248220029</v>
      </c>
      <c r="Y48">
        <v>0</v>
      </c>
      <c r="Z48" s="31">
        <f>X48+Y48</f>
        <v>30.071586248220029</v>
      </c>
      <c r="AA48" s="31">
        <f>100*($E$21*$E$23+($E$22*(Z48/100))/(1-$E$25))</f>
        <v>24.939179429027867</v>
      </c>
      <c r="AB48" s="32">
        <f>AA48/U48</f>
        <v>9.193733802191327E-2</v>
      </c>
      <c r="AC48" s="30">
        <f>ROUND($E$12/(1-AB48),0)</f>
        <v>2076863</v>
      </c>
      <c r="AD48" t="str">
        <f>IF(OR(OR(AC48=AC42,AC48=(AC42+1)),AC48=(AC42-1)),"yes","not yet")</f>
        <v>yes</v>
      </c>
      <c r="AE48" s="31">
        <f>100*(1-AB48)</f>
        <v>90.806266197808668</v>
      </c>
      <c r="AI48" s="30">
        <f>HLOOKUP($AI$38,$AI$41:$AQ$45,$E$16+1)</f>
        <v>2078390.1727225778</v>
      </c>
    </row>
    <row r="49" spans="4:31">
      <c r="Z49" s="31"/>
    </row>
    <row r="50" spans="4:31">
      <c r="D50" s="30"/>
      <c r="E50" s="30"/>
      <c r="F50" s="30"/>
      <c r="U50" s="16" t="s">
        <v>187</v>
      </c>
      <c r="V50" s="2" t="s">
        <v>133</v>
      </c>
      <c r="W50" s="2" t="s">
        <v>134</v>
      </c>
      <c r="X50" s="2" t="s">
        <v>135</v>
      </c>
      <c r="Z50" s="31"/>
    </row>
    <row r="51" spans="4:31">
      <c r="D51" s="30"/>
      <c r="E51" s="30"/>
      <c r="F51" s="30"/>
      <c r="U51" s="31">
        <f>100*(+AC45/$E$13)</f>
        <v>272.2379442906792</v>
      </c>
      <c r="V51" s="35">
        <f>EXP(5.7226-(0.68367*LN(+U51)))</f>
        <v>6.6159506040132481</v>
      </c>
      <c r="W51" s="32">
        <f>(+V51*U51)/100</f>
        <v>18.011127919652441</v>
      </c>
      <c r="X51" s="31">
        <f>100*((((W51/100)-((W51/100)-0.03574)*$E$25)-0.03574-0.00619)/0.344)</f>
        <v>31.355613536411138</v>
      </c>
      <c r="Y51">
        <v>0</v>
      </c>
      <c r="Z51" s="31">
        <f>X51+Y51</f>
        <v>31.355613536411138</v>
      </c>
      <c r="AA51" s="31">
        <f>100*($E$21*$E$23+($E$22*(Z51/100))/(1-$E$25))</f>
        <v>25.914390027654026</v>
      </c>
      <c r="AB51" s="32">
        <f>AA51/U51</f>
        <v>9.5190220801785838E-2</v>
      </c>
      <c r="AC51" s="30">
        <f>ROUND($E$12/(1-AB51),0)</f>
        <v>2084330</v>
      </c>
      <c r="AD51" t="str">
        <f>IF(OR(OR(AC51=AC45,AC51=(AC45+1)),AC51=(AC37-1)),"yes","not yet")</f>
        <v>yes</v>
      </c>
      <c r="AE51" s="31">
        <f>100*(1-AB51)</f>
        <v>90.480977919821413</v>
      </c>
    </row>
    <row r="52" spans="4:31">
      <c r="U52" s="31">
        <f>100*(+AC46/$E$13)</f>
        <v>271.77440304345402</v>
      </c>
      <c r="V52" s="35">
        <f>EXP(5.70827-(0.68367*LN(+U52)))</f>
        <v>6.5294229669072577</v>
      </c>
      <c r="W52" s="32">
        <f>(+V52*U52)/100</f>
        <v>17.745300290494384</v>
      </c>
      <c r="X52" s="31">
        <f>100*((((W52/100)-((W52/100)-0.03574)*$E$25)-0.03574-0.00619)/0.344)</f>
        <v>30.745137295030712</v>
      </c>
      <c r="Y52">
        <v>0</v>
      </c>
      <c r="Z52" s="31">
        <f>X52+Y52</f>
        <v>30.745137295030712</v>
      </c>
      <c r="AA52" s="31">
        <f>100*($E$21*$E$23+($E$22*(Z52/100))/(1-$E$25))</f>
        <v>25.450737186099271</v>
      </c>
      <c r="AB52" s="32">
        <f>AA52/U52</f>
        <v>9.3646557222057267E-2</v>
      </c>
      <c r="AC52" s="30">
        <f>ROUND($E$12/(1-AB52),0)</f>
        <v>2080780</v>
      </c>
      <c r="AD52" t="str">
        <f>IF(OR(OR(AC52=AC46,AC52=(AC46+1)),AC52=(AC46-1)),"yes","not yet")</f>
        <v>yes</v>
      </c>
      <c r="AE52" s="31">
        <f>100*(1-AB52)</f>
        <v>90.635344277794275</v>
      </c>
    </row>
    <row r="53" spans="4:31">
      <c r="U53" s="31">
        <f>100*(+AC47/$E$13)</f>
        <v>271.46224086231337</v>
      </c>
      <c r="V53" s="35">
        <f>EXP(5.6985-(0.68367*LN(U53)))</f>
        <v>6.4710235338383075</v>
      </c>
      <c r="W53" s="32">
        <f>(+V53*U53)/100</f>
        <v>17.566385491685129</v>
      </c>
      <c r="X53" s="31">
        <f>100*((((W53/100)-((W53/100)-0.03574)*$E$25)-0.03574-0.00619)/0.344)</f>
        <v>30.334257379160618</v>
      </c>
      <c r="Y53">
        <v>0</v>
      </c>
      <c r="Z53" s="31">
        <f>X53+Y53</f>
        <v>30.334257379160618</v>
      </c>
      <c r="AA53" s="31">
        <f>100*($E$21*$E$23+($E$22*(Z53/100))/(1-$E$25))</f>
        <v>25.138676490501734</v>
      </c>
      <c r="AB53" s="32">
        <f>AA53/U53</f>
        <v>9.260468936912726E-2</v>
      </c>
      <c r="AC53" s="30">
        <f>ROUND($E$12/(1-AB53),0)</f>
        <v>2078390</v>
      </c>
      <c r="AD53" t="str">
        <f>IF(OR(OR(AC53=AC47,AC53=(AC47+1)),AC53=(AC47-1)),"yes","not yet")</f>
        <v>yes</v>
      </c>
      <c r="AE53" s="31">
        <f>100*(1-AB53)</f>
        <v>90.73953106308727</v>
      </c>
    </row>
    <row r="54" spans="4:31">
      <c r="U54" s="31">
        <f>100*(+AC48/$E$13)</f>
        <v>271.26279665704061</v>
      </c>
      <c r="V54" s="35">
        <f>EXP(5.6922-(0.68367*LN(U54)))</f>
        <v>6.4336161801445995</v>
      </c>
      <c r="W54" s="32">
        <f>(+V54*U54)/100</f>
        <v>17.452007176440109</v>
      </c>
      <c r="X54" s="31">
        <f>100*((((W54/100)-((W54/100)-0.03574)*$E$25)-0.03574-0.00619)/0.344)</f>
        <v>30.071586248220029</v>
      </c>
      <c r="Y54">
        <v>0</v>
      </c>
      <c r="Z54" s="31">
        <f>X54+Y54</f>
        <v>30.071586248220029</v>
      </c>
      <c r="AA54" s="31">
        <f>100*($E$21*$E$23+($E$22*(Z54/100))/(1-$E$25))</f>
        <v>24.939179429027867</v>
      </c>
      <c r="AB54" s="32">
        <f>AA54/U54</f>
        <v>9.193733802191327E-2</v>
      </c>
      <c r="AC54" s="30">
        <f>ROUND($E$12/(1-AB54),0)</f>
        <v>2076863</v>
      </c>
      <c r="AD54" t="str">
        <f>IF(OR(OR(AC54=AC48,AC54=(AC48+1)),AC54=(AC48-1)),"yes","not yet")</f>
        <v>yes</v>
      </c>
      <c r="AE54" s="31">
        <f>100*(1-AB54)</f>
        <v>90.806266197808668</v>
      </c>
    </row>
    <row r="55" spans="4:31">
      <c r="Z55" s="31"/>
    </row>
    <row r="56" spans="4:31">
      <c r="U56" s="16" t="s">
        <v>188</v>
      </c>
      <c r="V56" s="2" t="s">
        <v>133</v>
      </c>
      <c r="W56" s="2" t="s">
        <v>134</v>
      </c>
      <c r="X56" s="2" t="s">
        <v>135</v>
      </c>
      <c r="Z56" s="31"/>
    </row>
    <row r="57" spans="4:31">
      <c r="U57" s="31">
        <f>100*(+AC51/$E$13)</f>
        <v>272.23807490247043</v>
      </c>
      <c r="V57" s="35">
        <f>EXP(5.7226-(0.68367*LN(+U57)))</f>
        <v>6.6159484339503098</v>
      </c>
      <c r="W57" s="32">
        <f>(+V57*U57)/100</f>
        <v>18.011130653126465</v>
      </c>
      <c r="X57" s="31">
        <f>100*((((W57/100)-((W57/100)-0.03574)*$E$25)-0.03574-0.00619)/0.344)</f>
        <v>31.35561981386601</v>
      </c>
      <c r="Y57">
        <v>0</v>
      </c>
      <c r="Z57" s="31">
        <f>X57+Y57</f>
        <v>31.35561981386601</v>
      </c>
      <c r="AA57" s="31">
        <f>100*($E$21*$E$23+($E$22*(Z57/100))/(1-$E$25))</f>
        <v>25.914394795341273</v>
      </c>
      <c r="AB57" s="32">
        <f>AA57/U57</f>
        <v>9.5190192645261434E-2</v>
      </c>
      <c r="AC57" s="30">
        <f>ROUND($E$12/(1-AB57),0)</f>
        <v>2084329</v>
      </c>
      <c r="AD57" t="str">
        <f>IF(OR(OR(AC57=AC51,AC57=(AC51+1)),AC57=(AC43-1)),"yes","not yet")</f>
        <v>not yet</v>
      </c>
      <c r="AE57" s="31">
        <f>100*(1-AB57)</f>
        <v>90.480980735473864</v>
      </c>
    </row>
    <row r="58" spans="4:31">
      <c r="U58" s="31">
        <f>100*(+AC52/$E$13)</f>
        <v>271.77440304345402</v>
      </c>
      <c r="V58" s="35">
        <f>EXP(5.70827-(0.68367*LN(+U58)))</f>
        <v>6.5294229669072577</v>
      </c>
      <c r="W58" s="32">
        <f>(+V58*U58)/100</f>
        <v>17.745300290494384</v>
      </c>
      <c r="X58" s="31">
        <f>100*((((W58/100)-((W58/100)-0.03574)*$E$25)-0.03574-0.00619)/0.344)</f>
        <v>30.745137295030712</v>
      </c>
      <c r="Y58">
        <v>0</v>
      </c>
      <c r="Z58" s="31">
        <f>X58+Y58</f>
        <v>30.745137295030712</v>
      </c>
      <c r="AA58" s="31">
        <f>100*($E$21*$E$23+($E$22*(Z58/100))/(1-$E$25))</f>
        <v>25.450737186099271</v>
      </c>
      <c r="AB58" s="32">
        <f>AA58/U58</f>
        <v>9.3646557222057267E-2</v>
      </c>
      <c r="AC58" s="30">
        <f>ROUND($E$12/(1-AB58),0)</f>
        <v>2080780</v>
      </c>
      <c r="AD58" t="str">
        <f>IF(OR(OR(AC58=AC52,AC58=(AC52+1)),AC58=(AC52-1)),"yes","not yet")</f>
        <v>yes</v>
      </c>
      <c r="AE58" s="31">
        <f>100*(1-AB58)</f>
        <v>90.635344277794275</v>
      </c>
    </row>
    <row r="59" spans="4:31">
      <c r="U59" s="31">
        <f>100*(+AC53/$E$13)</f>
        <v>271.46224086231337</v>
      </c>
      <c r="V59" s="35">
        <f>EXP(5.6985-(0.68367*LN(U59)))</f>
        <v>6.4710235338383075</v>
      </c>
      <c r="W59" s="32">
        <f>(+V59*U59)/100</f>
        <v>17.566385491685129</v>
      </c>
      <c r="X59" s="31">
        <f>100*((((W59/100)-((W59/100)-0.03574)*$E$25)-0.03574-0.00619)/0.344)</f>
        <v>30.334257379160618</v>
      </c>
      <c r="Y59">
        <v>0</v>
      </c>
      <c r="Z59" s="31">
        <f>X59+Y59</f>
        <v>30.334257379160618</v>
      </c>
      <c r="AA59" s="31">
        <f>100*($E$21*$E$23+($E$22*(Z59/100))/(1-$E$25))</f>
        <v>25.138676490501734</v>
      </c>
      <c r="AB59" s="32">
        <f>AA59/U59</f>
        <v>9.260468936912726E-2</v>
      </c>
      <c r="AC59" s="30">
        <f>ROUND($E$12/(1-AB59),0)</f>
        <v>2078390</v>
      </c>
      <c r="AD59" t="str">
        <f>IF(OR(OR(AC59=AC53,AC59=(AC53+1)),AC59=(AC53-1)),"yes","not yet")</f>
        <v>yes</v>
      </c>
      <c r="AE59" s="31">
        <f>100*(1-AB59)</f>
        <v>90.73953106308727</v>
      </c>
    </row>
    <row r="60" spans="4:31">
      <c r="U60" s="31">
        <f>100*(+AC54/$E$13)</f>
        <v>271.26279665704061</v>
      </c>
      <c r="V60" s="35">
        <f>EXP(5.6922-(0.68367*LN(U60)))</f>
        <v>6.4336161801445995</v>
      </c>
      <c r="W60" s="32">
        <f>(+V60*U60)/100</f>
        <v>17.452007176440109</v>
      </c>
      <c r="X60" s="31">
        <f>100*((((W60/100)-((W60/100)-0.03574)*$E$25)-0.03574-0.00619)/0.344)</f>
        <v>30.071586248220029</v>
      </c>
      <c r="Y60">
        <v>0</v>
      </c>
      <c r="Z60" s="31">
        <f>X60+Y60</f>
        <v>30.071586248220029</v>
      </c>
      <c r="AA60" s="31">
        <f>100*($E$21*$E$23+($E$22*(Z60/100))/(1-$E$25))</f>
        <v>24.939179429027867</v>
      </c>
      <c r="AB60" s="32">
        <f>AA60/U60</f>
        <v>9.193733802191327E-2</v>
      </c>
      <c r="AC60" s="30">
        <f>ROUND($E$12/(1-AB60),0)</f>
        <v>2076863</v>
      </c>
      <c r="AD60" t="str">
        <f>IF(OR(OR(AC60=AC54,AC60=(AC54+1)),AC60=(AC54-1)),"yes","not yet")</f>
        <v>yes</v>
      </c>
      <c r="AE60" s="31">
        <f>100*(1-AB60)</f>
        <v>90.806266197808668</v>
      </c>
    </row>
    <row r="61" spans="4:31">
      <c r="Z61" s="31"/>
    </row>
    <row r="63" spans="4:31">
      <c r="U63" s="31"/>
      <c r="V63" s="35"/>
      <c r="W63" s="32"/>
      <c r="X63" s="31"/>
      <c r="AA63" s="31"/>
      <c r="AB63" s="32"/>
      <c r="AC63" s="30"/>
    </row>
    <row r="64" spans="4:31">
      <c r="U64" s="31"/>
      <c r="V64" s="35"/>
      <c r="W64" s="32"/>
      <c r="X64" s="31"/>
      <c r="AA64" s="31"/>
      <c r="AB64" s="32"/>
      <c r="AC64" s="30"/>
    </row>
    <row r="65" spans="20:29">
      <c r="U65" s="31"/>
      <c r="V65" s="35"/>
      <c r="W65" s="32"/>
      <c r="X65" s="31"/>
      <c r="AA65" s="31"/>
      <c r="AB65" s="32"/>
      <c r="AC65" s="30"/>
    </row>
    <row r="66" spans="20:29">
      <c r="U66" s="31"/>
      <c r="V66" s="35"/>
      <c r="W66" s="32"/>
      <c r="X66" s="31"/>
      <c r="AA66" s="31"/>
      <c r="AB66" s="32"/>
      <c r="AC66" s="30"/>
    </row>
    <row r="69" spans="20:29">
      <c r="U69" s="31"/>
      <c r="V69" s="35"/>
      <c r="W69" s="32"/>
      <c r="X69" s="31"/>
      <c r="AA69" s="31"/>
      <c r="AB69" s="32"/>
      <c r="AC69" s="30"/>
    </row>
    <row r="70" spans="20:29">
      <c r="U70" s="31"/>
      <c r="V70" s="35"/>
      <c r="W70" s="32"/>
      <c r="X70" s="31"/>
      <c r="AA70" s="31"/>
      <c r="AB70" s="32"/>
      <c r="AC70" s="30"/>
    </row>
    <row r="71" spans="20:29">
      <c r="T71" s="31"/>
      <c r="U71" s="35"/>
      <c r="V71" s="32"/>
      <c r="W71" s="31"/>
      <c r="Z71" s="31"/>
      <c r="AA71" s="32"/>
      <c r="AB71" s="30"/>
    </row>
    <row r="72" spans="20:29">
      <c r="T72" s="31"/>
      <c r="U72" s="35"/>
      <c r="V72" s="32"/>
      <c r="W72" s="31"/>
      <c r="Z72" s="31"/>
      <c r="AA72" s="32"/>
      <c r="AB72" s="30"/>
    </row>
    <row r="75" spans="20:29">
      <c r="T75" s="31"/>
      <c r="U75" s="35"/>
      <c r="V75" s="32"/>
      <c r="W75" s="31"/>
      <c r="Z75" s="31"/>
      <c r="AA75" s="32"/>
      <c r="AB75" s="30"/>
    </row>
    <row r="76" spans="20:29">
      <c r="T76" s="31"/>
      <c r="U76" s="35"/>
      <c r="V76" s="32"/>
      <c r="W76" s="31"/>
      <c r="Z76" s="31"/>
      <c r="AA76" s="32"/>
      <c r="AB76" s="30"/>
    </row>
    <row r="77" spans="20:29">
      <c r="T77" s="31"/>
      <c r="U77" s="35"/>
      <c r="V77" s="32"/>
      <c r="W77" s="31"/>
      <c r="Z77" s="31"/>
      <c r="AA77" s="32"/>
      <c r="AB77" s="30"/>
    </row>
    <row r="78" spans="20:29">
      <c r="T78" s="31"/>
      <c r="U78" s="35"/>
      <c r="V78" s="32"/>
      <c r="W78" s="31"/>
      <c r="Z78" s="31"/>
      <c r="AA78" s="32"/>
      <c r="AB78" s="30"/>
    </row>
    <row r="81" spans="20:28">
      <c r="T81" s="31"/>
      <c r="U81" s="35"/>
      <c r="V81" s="32"/>
      <c r="W81" s="31"/>
      <c r="Z81" s="31"/>
      <c r="AA81" s="32"/>
      <c r="AB81" s="30"/>
    </row>
    <row r="82" spans="20:28">
      <c r="T82" s="31"/>
      <c r="U82" s="35"/>
      <c r="V82" s="32"/>
      <c r="W82" s="31"/>
      <c r="Z82" s="31"/>
      <c r="AA82" s="32"/>
      <c r="AB82" s="30"/>
    </row>
    <row r="83" spans="20:28">
      <c r="T83" s="31"/>
      <c r="U83" s="35"/>
      <c r="V83" s="32"/>
      <c r="W83" s="31"/>
      <c r="Z83" s="31"/>
      <c r="AA83" s="32"/>
      <c r="AB83" s="30"/>
    </row>
    <row r="84" spans="20:28">
      <c r="T84" s="31"/>
      <c r="U84" s="35"/>
      <c r="V84" s="32"/>
      <c r="W84" s="31"/>
      <c r="Z84" s="31"/>
      <c r="AA84" s="32"/>
      <c r="AB84" s="30"/>
    </row>
    <row r="87" spans="20:28">
      <c r="T87" s="31"/>
      <c r="U87" s="35"/>
      <c r="V87" s="32"/>
      <c r="W87" s="31"/>
      <c r="Z87" s="31"/>
      <c r="AA87" s="32"/>
      <c r="AB87" s="30"/>
    </row>
    <row r="88" spans="20:28">
      <c r="T88" s="31"/>
      <c r="U88" s="35"/>
      <c r="V88" s="32"/>
      <c r="W88" s="31"/>
      <c r="Z88" s="31"/>
      <c r="AA88" s="32"/>
      <c r="AB88" s="30"/>
    </row>
    <row r="89" spans="20:28">
      <c r="T89" s="31"/>
      <c r="U89" s="35"/>
      <c r="V89" s="32"/>
      <c r="W89" s="31"/>
      <c r="Z89" s="31"/>
      <c r="AA89" s="32"/>
      <c r="AB89" s="30"/>
    </row>
    <row r="90" spans="20:28">
      <c r="T90" s="31"/>
      <c r="U90" s="35"/>
      <c r="V90" s="32"/>
      <c r="W90" s="31"/>
      <c r="Z90" s="31"/>
      <c r="AA90" s="32"/>
      <c r="AB90" s="30"/>
    </row>
    <row r="93" spans="20:28">
      <c r="T93" s="31"/>
      <c r="U93" s="35"/>
      <c r="V93" s="32"/>
      <c r="W93" s="31"/>
      <c r="Z93" s="31"/>
      <c r="AA93" s="32"/>
      <c r="AB93" s="30"/>
    </row>
    <row r="94" spans="20:28">
      <c r="T94" s="31"/>
      <c r="U94" s="35"/>
      <c r="V94" s="32"/>
      <c r="W94" s="31"/>
      <c r="Z94" s="31"/>
      <c r="AA94" s="32"/>
      <c r="AB94" s="30"/>
    </row>
    <row r="95" spans="20:28">
      <c r="T95" s="31"/>
      <c r="U95" s="35"/>
      <c r="V95" s="32"/>
      <c r="W95" s="31"/>
      <c r="Z95" s="31"/>
      <c r="AA95" s="32"/>
      <c r="AB95" s="30"/>
    </row>
    <row r="96" spans="20:28">
      <c r="T96" s="31"/>
      <c r="U96" s="35"/>
      <c r="V96" s="32"/>
      <c r="W96" s="31"/>
      <c r="Z96" s="31"/>
      <c r="AA96" s="32"/>
      <c r="AB96" s="30"/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T113"/>
  <sheetViews>
    <sheetView showGridLines="0" showOutlineSymbols="0" zoomScale="120" zoomScaleNormal="120" workbookViewId="0">
      <selection activeCell="M21" sqref="M21"/>
    </sheetView>
  </sheetViews>
  <sheetFormatPr defaultColWidth="16.7109375" defaultRowHeight="15"/>
  <cols>
    <col min="1" max="1" width="4.85546875" style="449" customWidth="1"/>
    <col min="2" max="2" width="33.5703125" style="452" bestFit="1" customWidth="1"/>
    <col min="3" max="3" width="21.28515625" style="452" customWidth="1"/>
    <col min="4" max="4" width="21.28515625" style="452" hidden="1" customWidth="1"/>
    <col min="5" max="5" width="7.28515625" style="452" customWidth="1"/>
    <col min="6" max="6" width="5.7109375" style="449" customWidth="1"/>
    <col min="7" max="7" width="8.5703125" style="449" customWidth="1"/>
    <col min="8" max="8" width="15" style="449" customWidth="1"/>
    <col min="9" max="9" width="17.7109375" style="449" customWidth="1"/>
    <col min="10" max="10" width="13.28515625" style="449" customWidth="1"/>
    <col min="11" max="11" width="15.140625" style="449" bestFit="1" customWidth="1"/>
    <col min="12" max="13" width="18.42578125" style="449" customWidth="1"/>
    <col min="14" max="14" width="6.140625" style="449" customWidth="1"/>
    <col min="15" max="15" width="6.28515625" style="452" customWidth="1"/>
    <col min="16" max="16" width="40.42578125" style="452" customWidth="1"/>
    <col min="17" max="17" width="16.7109375" style="451"/>
    <col min="18" max="18" width="13.85546875" style="450" customWidth="1"/>
    <col min="19" max="19" width="16.7109375" style="449"/>
    <col min="20" max="20" width="13.42578125" style="449" customWidth="1"/>
    <col min="21" max="21" width="15.7109375" style="449" customWidth="1"/>
    <col min="22" max="22" width="16.7109375" style="449"/>
    <col min="23" max="24" width="17.7109375" style="449" customWidth="1"/>
    <col min="25" max="25" width="16" style="449" customWidth="1"/>
    <col min="26" max="26" width="16.7109375" style="449"/>
    <col min="27" max="27" width="15.85546875" style="449" customWidth="1"/>
    <col min="28" max="29" width="16.7109375" style="449"/>
    <col min="30" max="30" width="16.42578125" style="449" customWidth="1"/>
    <col min="31" max="31" width="17.28515625" style="449" customWidth="1"/>
    <col min="32" max="32" width="20.7109375" style="449" customWidth="1"/>
    <col min="33" max="33" width="18.140625" style="449" customWidth="1"/>
    <col min="34" max="34" width="16.42578125" style="449" customWidth="1"/>
    <col min="35" max="35" width="16.7109375" style="449"/>
    <col min="36" max="36" width="13.85546875" style="449" customWidth="1"/>
    <col min="37" max="37" width="16.42578125" style="449" customWidth="1"/>
    <col min="38" max="49" width="15.140625" style="449" customWidth="1"/>
    <col min="50" max="16384" width="16.7109375" style="449"/>
  </cols>
  <sheetData>
    <row r="1" spans="1:35" s="606" customFormat="1" ht="15.75" thickBot="1">
      <c r="A1" s="468"/>
      <c r="B1" s="609"/>
      <c r="C1" s="609"/>
      <c r="D1" s="609"/>
      <c r="E1" s="609"/>
      <c r="F1" s="609"/>
      <c r="G1" s="609"/>
      <c r="H1" s="609"/>
      <c r="I1" s="610"/>
      <c r="J1" s="610"/>
      <c r="K1" s="610"/>
      <c r="L1" s="610"/>
      <c r="M1" s="610"/>
      <c r="N1" s="610"/>
      <c r="O1" s="609"/>
      <c r="P1" s="609"/>
      <c r="Q1" s="608"/>
      <c r="R1" s="607"/>
    </row>
    <row r="2" spans="1:35" ht="19.5" thickBot="1">
      <c r="A2" s="468"/>
      <c r="B2" s="778" t="s">
        <v>1270</v>
      </c>
      <c r="C2" s="778"/>
      <c r="D2" s="468"/>
      <c r="E2" s="468"/>
      <c r="F2" s="603" t="s">
        <v>1268</v>
      </c>
      <c r="G2" s="604"/>
      <c r="H2" s="604"/>
      <c r="I2" s="605" t="s">
        <v>1269</v>
      </c>
      <c r="J2" s="604"/>
      <c r="K2" s="604"/>
      <c r="L2" s="604"/>
      <c r="M2" s="603" t="s">
        <v>1268</v>
      </c>
      <c r="O2" s="468"/>
      <c r="P2" s="468"/>
      <c r="R2" s="602" t="s">
        <v>1267</v>
      </c>
      <c r="S2" s="601"/>
      <c r="T2" s="600"/>
      <c r="AF2" s="775" t="s">
        <v>1266</v>
      </c>
      <c r="AG2" s="776"/>
      <c r="AH2" s="776"/>
      <c r="AI2" s="777"/>
    </row>
    <row r="3" spans="1:35" ht="15.75">
      <c r="A3" s="468"/>
      <c r="B3" s="468"/>
      <c r="C3" s="468"/>
      <c r="D3" s="468"/>
      <c r="E3" s="468"/>
      <c r="F3" s="599"/>
      <c r="G3" s="506"/>
      <c r="K3" s="598" t="s">
        <v>1265</v>
      </c>
      <c r="M3" s="598" t="s">
        <v>1264</v>
      </c>
      <c r="O3" s="468"/>
      <c r="P3" s="468"/>
      <c r="R3" s="449"/>
      <c r="T3" s="449" t="s">
        <v>1263</v>
      </c>
      <c r="V3" s="450" t="s">
        <v>1263</v>
      </c>
      <c r="W3" s="450" t="s">
        <v>1263</v>
      </c>
      <c r="X3" s="450" t="s">
        <v>1263</v>
      </c>
      <c r="Y3" s="450" t="s">
        <v>1262</v>
      </c>
      <c r="Z3" s="450" t="s">
        <v>1262</v>
      </c>
      <c r="AA3" s="450" t="s">
        <v>1262</v>
      </c>
      <c r="AB3" s="450" t="s">
        <v>1262</v>
      </c>
      <c r="AC3" s="450" t="s">
        <v>1262</v>
      </c>
      <c r="AD3" s="450" t="s">
        <v>1262</v>
      </c>
      <c r="AE3" s="450" t="s">
        <v>1236</v>
      </c>
      <c r="AF3" s="450" t="s">
        <v>151</v>
      </c>
      <c r="AG3" s="450" t="s">
        <v>1261</v>
      </c>
      <c r="AH3" s="450"/>
    </row>
    <row r="4" spans="1:35" ht="19.5" thickBot="1">
      <c r="A4" s="468"/>
      <c r="B4" s="597" t="s">
        <v>1260</v>
      </c>
      <c r="C4" s="596"/>
      <c r="D4" s="576"/>
      <c r="E4" s="468"/>
      <c r="F4" s="504"/>
      <c r="G4" s="506"/>
      <c r="H4" s="593" t="s">
        <v>1259</v>
      </c>
      <c r="I4" s="593" t="s">
        <v>1258</v>
      </c>
      <c r="J4" s="593" t="s">
        <v>1257</v>
      </c>
      <c r="K4" s="593" t="s">
        <v>1256</v>
      </c>
      <c r="L4" s="593" t="s">
        <v>1255</v>
      </c>
      <c r="M4" s="593" t="s">
        <v>1254</v>
      </c>
      <c r="O4" s="595"/>
      <c r="P4" s="468"/>
      <c r="R4" s="449"/>
      <c r="T4" s="450" t="s">
        <v>1251</v>
      </c>
      <c r="V4" s="450" t="s">
        <v>1253</v>
      </c>
      <c r="W4" s="450" t="s">
        <v>848</v>
      </c>
      <c r="X4" s="450" t="s">
        <v>1172</v>
      </c>
      <c r="Y4" s="450" t="s">
        <v>1252</v>
      </c>
      <c r="Z4" s="450" t="s">
        <v>1252</v>
      </c>
      <c r="AA4" s="450" t="s">
        <v>1252</v>
      </c>
      <c r="AB4" s="450" t="s">
        <v>848</v>
      </c>
      <c r="AC4" s="450" t="s">
        <v>1251</v>
      </c>
      <c r="AD4" s="450" t="s">
        <v>1251</v>
      </c>
      <c r="AE4" s="450" t="s">
        <v>1250</v>
      </c>
      <c r="AF4" s="450" t="s">
        <v>1249</v>
      </c>
      <c r="AG4" s="450" t="s">
        <v>1248</v>
      </c>
      <c r="AH4" s="450" t="s">
        <v>1247</v>
      </c>
      <c r="AI4" s="450" t="s">
        <v>113</v>
      </c>
    </row>
    <row r="5" spans="1:35" ht="15.75">
      <c r="A5" s="468"/>
      <c r="B5" s="578" t="s">
        <v>1231</v>
      </c>
      <c r="C5" s="767">
        <f>+'Staff Pro Forma'!R21</f>
        <v>1929993.2830781606</v>
      </c>
      <c r="D5" s="576"/>
      <c r="E5" s="468"/>
      <c r="F5" s="594" t="s">
        <v>1246</v>
      </c>
      <c r="G5" s="510"/>
      <c r="H5" s="510"/>
      <c r="I5" s="593" t="s">
        <v>1245</v>
      </c>
      <c r="J5" s="593" t="s">
        <v>151</v>
      </c>
      <c r="K5" s="592" t="s">
        <v>88</v>
      </c>
      <c r="L5" s="592" t="s">
        <v>1244</v>
      </c>
      <c r="M5" s="592" t="s">
        <v>151</v>
      </c>
      <c r="O5" s="572"/>
      <c r="P5" s="468"/>
      <c r="R5" s="591"/>
      <c r="T5" s="450" t="s">
        <v>1238</v>
      </c>
      <c r="U5" s="450" t="s">
        <v>1243</v>
      </c>
      <c r="V5" s="450" t="s">
        <v>1242</v>
      </c>
      <c r="W5" s="450" t="s">
        <v>1241</v>
      </c>
      <c r="X5" s="450" t="s">
        <v>135</v>
      </c>
      <c r="Y5" s="450" t="s">
        <v>1176</v>
      </c>
      <c r="Z5" s="450" t="s">
        <v>1240</v>
      </c>
      <c r="AA5" s="450" t="s">
        <v>1180</v>
      </c>
      <c r="AB5" s="450" t="s">
        <v>1239</v>
      </c>
      <c r="AC5" s="450" t="s">
        <v>1238</v>
      </c>
      <c r="AD5" s="450" t="s">
        <v>1169</v>
      </c>
      <c r="AE5" s="450" t="s">
        <v>1190</v>
      </c>
      <c r="AF5" s="450" t="s">
        <v>1237</v>
      </c>
      <c r="AG5" s="450" t="s">
        <v>1237</v>
      </c>
      <c r="AH5" s="450" t="s">
        <v>1190</v>
      </c>
      <c r="AI5" s="450" t="s">
        <v>1236</v>
      </c>
    </row>
    <row r="6" spans="1:35" ht="15.75">
      <c r="A6" s="468"/>
      <c r="B6" s="578" t="s">
        <v>1229</v>
      </c>
      <c r="C6" s="767">
        <f>+'Staff Pro Forma'!R102</f>
        <v>1885921.742040544</v>
      </c>
      <c r="D6" s="576"/>
      <c r="E6" s="468"/>
      <c r="F6" s="590" t="s">
        <v>1235</v>
      </c>
      <c r="G6" s="510"/>
      <c r="H6" s="510"/>
      <c r="I6" s="589"/>
      <c r="J6" s="587" t="s">
        <v>1234</v>
      </c>
      <c r="K6" s="588"/>
      <c r="L6" s="587" t="s">
        <v>1233</v>
      </c>
      <c r="M6" s="587" t="s">
        <v>1232</v>
      </c>
      <c r="O6" s="572"/>
      <c r="P6" s="468"/>
      <c r="R6" s="761">
        <v>1</v>
      </c>
      <c r="S6" s="760">
        <f>Revenue/Investment*100</f>
        <v>252.07987984623216</v>
      </c>
      <c r="T6" s="759">
        <f>EXP(y_inter1-(slope*LN(+S6)))</f>
        <v>6.9732300411196571</v>
      </c>
      <c r="U6" s="758">
        <f>(+S6*T6/100)/100</f>
        <v>0.17578109909055797</v>
      </c>
      <c r="V6" s="758">
        <f>regDebt_weighted</f>
        <v>3.5860000000000003E-2</v>
      </c>
      <c r="W6" s="758">
        <f>+U6-V6</f>
        <v>0.13992109909055797</v>
      </c>
      <c r="X6" s="758">
        <f>+((W6*(1-0.34))-Pfd_weighted)/Equity_percent</f>
        <v>0.25045908546444257</v>
      </c>
      <c r="Y6" s="758">
        <f>X6*equityP</f>
        <v>0.15027545127866554</v>
      </c>
      <c r="Z6" s="758">
        <f>+Y6/(1-taxrate)</f>
        <v>0.19022209022615891</v>
      </c>
      <c r="AA6" s="758">
        <f>debtP*Debt_Rate</f>
        <v>2.0000000000000004E-2</v>
      </c>
      <c r="AB6" s="758">
        <f>AA6+Z6</f>
        <v>0.2102220902261589</v>
      </c>
      <c r="AC6" s="758">
        <f>AB6/(S6/100)</f>
        <v>8.3395029525717645E-2</v>
      </c>
      <c r="AD6" s="758">
        <f>1-AC6</f>
        <v>0.91660497047428235</v>
      </c>
      <c r="AE6" s="755">
        <f>expenses/(AD6)</f>
        <v>2057507.6535584403</v>
      </c>
      <c r="AF6" s="757">
        <f>+AE6-Revenue</f>
        <v>127514.37048027967</v>
      </c>
      <c r="AG6" s="756">
        <f ca="1">+AF6/$J$49</f>
        <v>141770.73240678155</v>
      </c>
      <c r="AH6" s="756">
        <f ca="1">+AG6*$J$47</f>
        <v>3204.0185523932632</v>
      </c>
      <c r="AI6" s="755">
        <f ca="1">ROUND(+AH6+AE6,5)</f>
        <v>2060711.6721099999</v>
      </c>
    </row>
    <row r="7" spans="1:35" ht="15.75">
      <c r="A7" s="468"/>
      <c r="B7" s="578" t="s">
        <v>1067</v>
      </c>
      <c r="C7" s="766">
        <f>+'Results of Operations Regulated'!D108</f>
        <v>765627.6590799113</v>
      </c>
      <c r="D7" s="576"/>
      <c r="E7" s="468"/>
      <c r="F7" s="765">
        <v>1</v>
      </c>
      <c r="G7" s="510"/>
      <c r="H7" s="554" t="s">
        <v>1231</v>
      </c>
      <c r="I7" s="558">
        <f>IF(A65=TRUE,C5,0)</f>
        <v>1929993.2830781606</v>
      </c>
      <c r="J7" s="558">
        <f ca="1">(+$I8/($R51))-I7</f>
        <v>115630.29142374732</v>
      </c>
      <c r="K7" s="558">
        <f ca="1">+I7+J7</f>
        <v>2045623.5745019079</v>
      </c>
      <c r="L7" s="558">
        <f ca="1">((+J7/J49*K35)-J7)</f>
        <v>2905.4105630990089</v>
      </c>
      <c r="M7" s="558">
        <f ca="1">IFERROR(+K7+L7,0.00001)</f>
        <v>2048528.9850650069</v>
      </c>
      <c r="O7" s="572"/>
      <c r="P7" s="468"/>
      <c r="R7" s="544">
        <v>2</v>
      </c>
      <c r="S7" s="539">
        <f>Revenue/Investment*100</f>
        <v>252.07987984623216</v>
      </c>
      <c r="T7" s="540">
        <f>EXP(y_inter1-(slope*LN(+S7)))</f>
        <v>6.9732300411196571</v>
      </c>
      <c r="U7" s="537">
        <f>(+S7*T7/100)/100</f>
        <v>0.17578109909055797</v>
      </c>
      <c r="V7" s="537">
        <f>regDebt_weighted</f>
        <v>3.5860000000000003E-2</v>
      </c>
      <c r="W7" s="537">
        <f>+U7-V7</f>
        <v>0.13992109909055797</v>
      </c>
      <c r="X7" s="537">
        <f>+((W7*(1-0.34))-Pfd_weighted)/Equity_percent</f>
        <v>0.25045908546444257</v>
      </c>
      <c r="Y7" s="537">
        <f>X7*equityP</f>
        <v>0.15027545127866554</v>
      </c>
      <c r="Z7" s="537">
        <f>+Y7/(1-taxrate)</f>
        <v>0.19022209022615891</v>
      </c>
      <c r="AA7" s="537">
        <f>debtP*Debt_Rate</f>
        <v>2.0000000000000004E-2</v>
      </c>
      <c r="AB7" s="537">
        <f>AA7+Z7</f>
        <v>0.2102220902261589</v>
      </c>
      <c r="AC7" s="537">
        <f>AB7/(S7/100)</f>
        <v>8.3395029525717645E-2</v>
      </c>
      <c r="AD7" s="537">
        <f>1-AC7</f>
        <v>0.91660497047428235</v>
      </c>
      <c r="AE7" s="534">
        <f>expenses/(AD7)</f>
        <v>2057507.6535584403</v>
      </c>
      <c r="AF7" s="536">
        <f>+AE7-Revenue</f>
        <v>127514.37048027967</v>
      </c>
      <c r="AG7" s="535">
        <f ca="1">+AF7/$J$49</f>
        <v>141770.73240678155</v>
      </c>
      <c r="AH7" s="535">
        <f ca="1">+AG7*$J$47</f>
        <v>3204.0185523932632</v>
      </c>
      <c r="AI7" s="534">
        <f ca="1">ROUND(+AH7+AE7,5)</f>
        <v>2060711.6721099999</v>
      </c>
    </row>
    <row r="8" spans="1:35" ht="15.75">
      <c r="A8" s="468"/>
      <c r="B8" s="578" t="s">
        <v>1230</v>
      </c>
      <c r="C8" s="762">
        <v>0.4</v>
      </c>
      <c r="D8" s="576"/>
      <c r="E8" s="468"/>
      <c r="F8" s="505">
        <f t="shared" ref="F8:F49" si="0">+F7+1</f>
        <v>2</v>
      </c>
      <c r="G8" s="510"/>
      <c r="H8" s="554" t="s">
        <v>1229</v>
      </c>
      <c r="I8" s="558">
        <f>IF(A65=TRUE,C6,0)</f>
        <v>1885921.742040544</v>
      </c>
      <c r="J8" s="506"/>
      <c r="K8" s="558">
        <f>+I8</f>
        <v>1885921.742040544</v>
      </c>
      <c r="L8" s="558">
        <f ca="1">+L7</f>
        <v>2905.4105630990089</v>
      </c>
      <c r="M8" s="558">
        <f ca="1">IFERROR(+K8+L8,0.00001)</f>
        <v>1888827.152603643</v>
      </c>
      <c r="O8" s="572"/>
      <c r="P8" s="468"/>
      <c r="R8" s="512">
        <v>3</v>
      </c>
      <c r="S8" s="539">
        <f>Revenue/Investment*100</f>
        <v>252.07987984623216</v>
      </c>
      <c r="T8" s="540">
        <f>EXP(y_inter1-(slope*LN(+S8)))</f>
        <v>6.9732300411196571</v>
      </c>
      <c r="U8" s="537">
        <f>(+S8*T8/100)/100</f>
        <v>0.17578109909055797</v>
      </c>
      <c r="V8" s="537">
        <f>regDebt_weighted</f>
        <v>3.5860000000000003E-2</v>
      </c>
      <c r="W8" s="537">
        <f>+U8-V8</f>
        <v>0.13992109909055797</v>
      </c>
      <c r="X8" s="537">
        <f>+((W8*(1-0.34))-Pfd_weighted)/Equity_percent</f>
        <v>0.25045908546444257</v>
      </c>
      <c r="Y8" s="537">
        <f>X8*equityP</f>
        <v>0.15027545127866554</v>
      </c>
      <c r="Z8" s="537">
        <f>+Y8/(1-taxrate)</f>
        <v>0.19022209022615891</v>
      </c>
      <c r="AA8" s="537">
        <f>debtP*Debt_Rate</f>
        <v>2.0000000000000004E-2</v>
      </c>
      <c r="AB8" s="537">
        <f>AA8+Z8</f>
        <v>0.2102220902261589</v>
      </c>
      <c r="AC8" s="537">
        <f>AB8/(S8/100)</f>
        <v>8.3395029525717645E-2</v>
      </c>
      <c r="AD8" s="537">
        <f>1-AC8</f>
        <v>0.91660497047428235</v>
      </c>
      <c r="AE8" s="534">
        <f>expenses/(AD8)</f>
        <v>2057507.6535584403</v>
      </c>
      <c r="AF8" s="536">
        <f>+AE8-Revenue</f>
        <v>127514.37048027967</v>
      </c>
      <c r="AG8" s="535">
        <f ca="1">+AF8/$J$49</f>
        <v>141770.73240678155</v>
      </c>
      <c r="AH8" s="535">
        <f ca="1">+AG8*$J$47</f>
        <v>3204.0185523932632</v>
      </c>
      <c r="AI8" s="534">
        <f ca="1">ROUND(+AH8+AE8,5)</f>
        <v>2060711.6721099999</v>
      </c>
    </row>
    <row r="9" spans="1:35" ht="15.75">
      <c r="A9" s="468"/>
      <c r="B9" s="578" t="s">
        <v>1228</v>
      </c>
      <c r="C9" s="762">
        <v>0.05</v>
      </c>
      <c r="D9" s="576"/>
      <c r="E9" s="468"/>
      <c r="F9" s="505">
        <f t="shared" si="0"/>
        <v>3</v>
      </c>
      <c r="G9" s="510"/>
      <c r="H9" s="554" t="s">
        <v>1227</v>
      </c>
      <c r="I9" s="764">
        <f>+I7-I8</f>
        <v>44071.541037616553</v>
      </c>
      <c r="J9" s="506"/>
      <c r="K9" s="764">
        <f ca="1">+K7-K8</f>
        <v>159701.83246136387</v>
      </c>
      <c r="L9" s="510"/>
      <c r="M9" s="763">
        <f ca="1">+M7-M8</f>
        <v>159701.83246136387</v>
      </c>
      <c r="O9" s="572"/>
      <c r="P9" s="468"/>
      <c r="R9" s="518">
        <v>4</v>
      </c>
      <c r="S9" s="539">
        <f>Revenue/Investment*100</f>
        <v>252.07987984623216</v>
      </c>
      <c r="T9" s="540">
        <f>EXP(y_inter1-(slope*LN(+S9)))</f>
        <v>6.9732300411196571</v>
      </c>
      <c r="U9" s="537">
        <f>(+S9*T9/100)/100</f>
        <v>0.17578109909055797</v>
      </c>
      <c r="V9" s="537">
        <f>regDebt_weighted</f>
        <v>3.5860000000000003E-2</v>
      </c>
      <c r="W9" s="537">
        <f>+U9-V9</f>
        <v>0.13992109909055797</v>
      </c>
      <c r="X9" s="537">
        <f>+((W9*(1-0.34))-Pfd_weighted)/Equity_percent</f>
        <v>0.25045908546444257</v>
      </c>
      <c r="Y9" s="537">
        <f>X9*equityP</f>
        <v>0.15027545127866554</v>
      </c>
      <c r="Z9" s="537">
        <f>+Y9/(1-taxrate)</f>
        <v>0.19022209022615891</v>
      </c>
      <c r="AA9" s="537">
        <f>debtP*Debt_Rate</f>
        <v>2.0000000000000004E-2</v>
      </c>
      <c r="AB9" s="537">
        <f>AA9+Z9</f>
        <v>0.2102220902261589</v>
      </c>
      <c r="AC9" s="537">
        <f>AB9/(S9/100)</f>
        <v>8.3395029525717645E-2</v>
      </c>
      <c r="AD9" s="537">
        <f>1-AC9</f>
        <v>0.91660497047428235</v>
      </c>
      <c r="AE9" s="534">
        <f>expenses/(AD9)</f>
        <v>2057507.6535584403</v>
      </c>
      <c r="AF9" s="536">
        <f>+AE9-Revenue</f>
        <v>127514.37048027967</v>
      </c>
      <c r="AG9" s="535">
        <f ca="1">+AF9/$J$49</f>
        <v>141770.73240678155</v>
      </c>
      <c r="AH9" s="535">
        <f ca="1">+AG9*$J$47</f>
        <v>3204.0185523932632</v>
      </c>
      <c r="AI9" s="534">
        <f ca="1">ROUND(+AH9+AE9,5)</f>
        <v>2060711.6721099999</v>
      </c>
    </row>
    <row r="10" spans="1:35" ht="15.75">
      <c r="A10" s="468"/>
      <c r="B10" s="586" t="s">
        <v>1226</v>
      </c>
      <c r="C10" s="762">
        <v>0.21</v>
      </c>
      <c r="D10" s="576"/>
      <c r="E10" s="468"/>
      <c r="F10" s="505">
        <f t="shared" si="0"/>
        <v>4</v>
      </c>
      <c r="G10" s="510"/>
      <c r="H10" s="510"/>
      <c r="I10" s="506"/>
      <c r="J10" s="506"/>
      <c r="K10" s="558"/>
      <c r="L10" s="510"/>
      <c r="M10" s="510"/>
      <c r="N10" s="510"/>
      <c r="O10" s="572"/>
      <c r="P10" s="468"/>
      <c r="R10" s="450" t="s">
        <v>1225</v>
      </c>
    </row>
    <row r="11" spans="1:35" ht="15.75">
      <c r="A11" s="468"/>
      <c r="B11" s="578" t="s">
        <v>1224</v>
      </c>
      <c r="C11" s="754">
        <v>1.7500000000000002E-2</v>
      </c>
      <c r="D11" s="576"/>
      <c r="E11" s="468"/>
      <c r="F11" s="505">
        <f t="shared" si="0"/>
        <v>5</v>
      </c>
      <c r="G11" s="510"/>
      <c r="H11" s="554" t="s">
        <v>1223</v>
      </c>
      <c r="I11" s="558">
        <f>+K11</f>
        <v>15312.553181598229</v>
      </c>
      <c r="J11" s="506"/>
      <c r="K11" s="558">
        <f>+M27</f>
        <v>15312.553181598229</v>
      </c>
      <c r="L11" s="510"/>
      <c r="M11" s="558">
        <f>+K11</f>
        <v>15312.553181598229</v>
      </c>
      <c r="O11" s="572"/>
      <c r="P11" s="468"/>
      <c r="R11" s="761">
        <v>1</v>
      </c>
      <c r="S11" s="760">
        <f ca="1">IF((AI6/Investment*100)&gt;0,(AI6/Investment*100),0)</f>
        <v>269.15324278990244</v>
      </c>
      <c r="T11" s="759">
        <f ca="1">EXP(y_inter1-(slope*LN(S11)))</f>
        <v>6.6676955918071847</v>
      </c>
      <c r="U11" s="758">
        <f ca="1">(+S11*T11/100)/100</f>
        <v>0.17946318904708414</v>
      </c>
      <c r="V11" s="758">
        <f>regDebt_weighted</f>
        <v>3.5860000000000003E-2</v>
      </c>
      <c r="W11" s="758">
        <f ca="1">+U11-V11</f>
        <v>0.14360318904708413</v>
      </c>
      <c r="X11" s="758">
        <f ca="1">+((W11*(1-0.34))-Pfd_weighted)/Equity_percent</f>
        <v>0.25752356038103347</v>
      </c>
      <c r="Y11" s="758">
        <f ca="1">+X11*equityP</f>
        <v>0.15451413622862006</v>
      </c>
      <c r="Z11" s="758">
        <f ca="1">+Y11/(1-taxrate)</f>
        <v>0.19558751421344311</v>
      </c>
      <c r="AA11" s="758">
        <f>debtP*Debt_Rate</f>
        <v>2.0000000000000004E-2</v>
      </c>
      <c r="AB11" s="758">
        <f ca="1">+AA11+Z11</f>
        <v>0.21558751421344313</v>
      </c>
      <c r="AC11" s="758">
        <f ca="1">+AB11/(S11/100)</f>
        <v>8.0098427192916266E-2</v>
      </c>
      <c r="AD11" s="758">
        <f ca="1">1-AC11</f>
        <v>0.91990157280708373</v>
      </c>
      <c r="AE11" s="755">
        <f ca="1">expenses/(AD11)</f>
        <v>2050134.2728283913</v>
      </c>
      <c r="AF11" s="757">
        <f ca="1">+AE11-Revenue</f>
        <v>120140.98975023068</v>
      </c>
      <c r="AG11" s="756">
        <f ca="1">+AF11/$J$49</f>
        <v>133572.99294827276</v>
      </c>
      <c r="AH11" s="756">
        <f ca="1">+AG11*$J$47</f>
        <v>3018.7496406309647</v>
      </c>
      <c r="AI11" s="755">
        <f ca="1">ROUND(+AH11+AE11,5)</f>
        <v>2053153.02247</v>
      </c>
    </row>
    <row r="12" spans="1:35" ht="15.75">
      <c r="A12" s="468"/>
      <c r="B12" s="578" t="s">
        <v>1222</v>
      </c>
      <c r="C12" s="754">
        <v>5.1000000000000004E-3</v>
      </c>
      <c r="D12" s="576"/>
      <c r="E12" s="468"/>
      <c r="F12" s="505">
        <f t="shared" si="0"/>
        <v>6</v>
      </c>
      <c r="G12" s="510"/>
      <c r="H12" s="554" t="s">
        <v>1221</v>
      </c>
      <c r="I12" s="558">
        <f ca="1">IF(I14&lt;0,0,+J38*I14)</f>
        <v>4991.2292973254944</v>
      </c>
      <c r="J12" s="558">
        <f ca="1">+K12-I12</f>
        <v>25330.51935142529</v>
      </c>
      <c r="K12" s="558">
        <f ca="1">+(K9-K11)*taxrate</f>
        <v>30321.748648750785</v>
      </c>
      <c r="L12" s="510"/>
      <c r="M12" s="558">
        <f ca="1">+K12</f>
        <v>30321.748648750785</v>
      </c>
      <c r="O12" s="572"/>
      <c r="P12" s="468"/>
      <c r="R12" s="544">
        <v>2</v>
      </c>
      <c r="S12" s="539">
        <f ca="1">IF((AI7/Investment*100)&gt;0,(AI7/Investment*100),0)</f>
        <v>269.15324278990244</v>
      </c>
      <c r="T12" s="543">
        <f ca="1">EXP(y_inter2-(slope*LN(+S12)))</f>
        <v>6.5728288575204896</v>
      </c>
      <c r="U12" s="537">
        <f ca="1">(+S12*T12/100)/100</f>
        <v>0.17690982013046896</v>
      </c>
      <c r="V12" s="537">
        <f>regDebt_weighted</f>
        <v>3.5860000000000003E-2</v>
      </c>
      <c r="W12" s="537">
        <f ca="1">+U12-V12</f>
        <v>0.14104982013046896</v>
      </c>
      <c r="X12" s="537">
        <f ca="1">+((W12*(1-0.34))-Pfd_weighted)/Equity_percent</f>
        <v>0.25262465490148112</v>
      </c>
      <c r="Y12" s="537">
        <f ca="1">+X12*equityP</f>
        <v>0.15157479294088866</v>
      </c>
      <c r="Z12" s="537">
        <f ca="1">+Y12/(1-taxrate)</f>
        <v>0.19186682650745399</v>
      </c>
      <c r="AA12" s="537">
        <f>debtP*Debt_Rate</f>
        <v>2.0000000000000004E-2</v>
      </c>
      <c r="AB12" s="537">
        <f ca="1">+AA12+Z12</f>
        <v>0.21186682650745398</v>
      </c>
      <c r="AC12" s="537">
        <f ca="1">+AB12/(S12/100)</f>
        <v>7.8716059413348596E-2</v>
      </c>
      <c r="AD12" s="537">
        <f ca="1">1-AC12</f>
        <v>0.92128394058665142</v>
      </c>
      <c r="AE12" s="534">
        <f ca="1">expenses/(AD12)</f>
        <v>2047058.0881282208</v>
      </c>
      <c r="AF12" s="536">
        <f ca="1">+AE12-Revenue</f>
        <v>117064.80505006015</v>
      </c>
      <c r="AG12" s="535">
        <f ca="1">+AF12/$J$49</f>
        <v>130152.88463954566</v>
      </c>
      <c r="AH12" s="535">
        <f ca="1">+AG12*$J$47</f>
        <v>2941.4551928537321</v>
      </c>
      <c r="AI12" s="534">
        <f ca="1">ROUND(+AH12+AE12,5)</f>
        <v>2049999.5433199999</v>
      </c>
    </row>
    <row r="13" spans="1:35" ht="15.75">
      <c r="A13" s="468"/>
      <c r="B13" s="578" t="s">
        <v>1220</v>
      </c>
      <c r="C13" s="754">
        <v>0</v>
      </c>
      <c r="D13" s="576"/>
      <c r="E13" s="468"/>
      <c r="F13" s="505">
        <f t="shared" si="0"/>
        <v>7</v>
      </c>
      <c r="G13" s="510"/>
      <c r="H13" s="510"/>
      <c r="I13" s="506"/>
      <c r="J13" s="506"/>
      <c r="K13" s="558"/>
      <c r="L13" s="510"/>
      <c r="M13" s="510"/>
      <c r="O13" s="572"/>
      <c r="P13" s="468"/>
      <c r="R13" s="512">
        <v>3</v>
      </c>
      <c r="S13" s="539">
        <f ca="1">IF((AI8/Investment*100)&gt;0,(AI8/Investment*100),0)</f>
        <v>269.15324278990244</v>
      </c>
      <c r="T13" s="540">
        <f ca="1">EXP(y_inter3-(slope*LN(S13)))</f>
        <v>6.5089249982516275</v>
      </c>
      <c r="U13" s="537">
        <f ca="1">(+S13*T13/100)/100</f>
        <v>0.17518982703556854</v>
      </c>
      <c r="V13" s="537">
        <f>regDebt_weighted</f>
        <v>3.5860000000000003E-2</v>
      </c>
      <c r="W13" s="537">
        <f ca="1">+U13-V13</f>
        <v>0.13932982703556854</v>
      </c>
      <c r="X13" s="537">
        <f ca="1">+((W13*(1-0.34))-Pfd_weighted)/Equity_percent</f>
        <v>0.24932466814963727</v>
      </c>
      <c r="Y13" s="537">
        <f ca="1">+X13*equityP</f>
        <v>0.14959480088978236</v>
      </c>
      <c r="Z13" s="537">
        <f ca="1">+Y13/(1-taxrate)</f>
        <v>0.18936050745542071</v>
      </c>
      <c r="AA13" s="537">
        <f>debtP*Debt_Rate</f>
        <v>2.0000000000000004E-2</v>
      </c>
      <c r="AB13" s="537">
        <f ca="1">+AA13+Z13</f>
        <v>0.20936050745542073</v>
      </c>
      <c r="AC13" s="537">
        <f ca="1">+AB13/(S13/100)</f>
        <v>7.7784872768129662E-2</v>
      </c>
      <c r="AD13" s="537">
        <f ca="1">1-AC13</f>
        <v>0.92221512723187038</v>
      </c>
      <c r="AE13" s="534">
        <f ca="1">expenses/(AD13)</f>
        <v>2044991.1157945809</v>
      </c>
      <c r="AF13" s="536">
        <f ca="1">+AE13-Revenue</f>
        <v>114997.83271642029</v>
      </c>
      <c r="AG13" s="535">
        <f ca="1">+AF13/$J$49</f>
        <v>127854.82066055282</v>
      </c>
      <c r="AH13" s="535">
        <f ca="1">+AG13*$J$47</f>
        <v>2889.5189469284942</v>
      </c>
      <c r="AI13" s="534">
        <f ca="1">ROUND(+AH13+AE13,5)</f>
        <v>2047880.6347399999</v>
      </c>
    </row>
    <row r="14" spans="1:35" ht="16.5" thickBot="1">
      <c r="A14" s="468"/>
      <c r="B14" s="577" t="s">
        <v>1219</v>
      </c>
      <c r="C14" s="754">
        <v>0</v>
      </c>
      <c r="D14" s="576"/>
      <c r="E14" s="468"/>
      <c r="F14" s="505">
        <f t="shared" si="0"/>
        <v>8</v>
      </c>
      <c r="G14" s="510"/>
      <c r="H14" s="510" t="s">
        <v>1218</v>
      </c>
      <c r="I14" s="753">
        <f ca="1">+I9-SUM(I11:I13)</f>
        <v>23767.758558692829</v>
      </c>
      <c r="J14" s="506"/>
      <c r="K14" s="753">
        <f ca="1">+K9-SUM(K11:K13)</f>
        <v>114067.53063101486</v>
      </c>
      <c r="L14" s="510"/>
      <c r="M14" s="753">
        <f ca="1">+M9-SUM(M11:M13)</f>
        <v>114067.53063101486</v>
      </c>
      <c r="O14" s="572"/>
      <c r="P14" s="468"/>
      <c r="R14" s="518">
        <v>4</v>
      </c>
      <c r="S14" s="539">
        <f ca="1">IF((AI9/Investment*100)&gt;0,(AI9/Investment*100),0)</f>
        <v>269.15324278990244</v>
      </c>
      <c r="T14" s="538">
        <f ca="1">EXP(y_inter4-(slope*LN(S14)))</f>
        <v>6.4680476695497253</v>
      </c>
      <c r="U14" s="537">
        <f ca="1">(+S14*T14/100)/100</f>
        <v>0.17408960047789798</v>
      </c>
      <c r="V14" s="537">
        <f>regDebt_weighted</f>
        <v>3.5860000000000003E-2</v>
      </c>
      <c r="W14" s="537">
        <f ca="1">+U14-V14</f>
        <v>0.13822960047789798</v>
      </c>
      <c r="X14" s="537">
        <f ca="1">+((W14*(1-0.34))-Pfd_weighted)/Equity_percent</f>
        <v>0.24721376835875775</v>
      </c>
      <c r="Y14" s="537">
        <f ca="1">+X14*equityP</f>
        <v>0.14832826101525465</v>
      </c>
      <c r="Z14" s="537">
        <f ca="1">+Y14/(1-taxrate)</f>
        <v>0.18775729242437297</v>
      </c>
      <c r="AA14" s="537">
        <f>debtP*Debt_Rate</f>
        <v>2.0000000000000004E-2</v>
      </c>
      <c r="AB14" s="537">
        <f ca="1">+AA14+Z14</f>
        <v>0.20775729242437296</v>
      </c>
      <c r="AC14" s="537">
        <f ca="1">+AB14/(S14/100)</f>
        <v>7.7189221378449316E-2</v>
      </c>
      <c r="AD14" s="537">
        <f ca="1">1-AC14</f>
        <v>0.9228107786215507</v>
      </c>
      <c r="AE14" s="534">
        <f ca="1">expenses/(AD14)</f>
        <v>2043671.1249273021</v>
      </c>
      <c r="AF14" s="536">
        <f ca="1">+AE14-Revenue</f>
        <v>113677.84184914152</v>
      </c>
      <c r="AG14" s="535">
        <f ca="1">+AF14/$J$49</f>
        <v>126387.2521714521</v>
      </c>
      <c r="AH14" s="535">
        <f ca="1">+AG14*$J$47</f>
        <v>2856.3518990748175</v>
      </c>
      <c r="AI14" s="534">
        <f ca="1">ROUND(+AH14+AE14,5)</f>
        <v>2046527.4768300001</v>
      </c>
    </row>
    <row r="15" spans="1:35" ht="16.5" thickTop="1">
      <c r="A15" s="468"/>
      <c r="B15" s="782"/>
      <c r="C15" s="782"/>
      <c r="D15" s="468"/>
      <c r="E15" s="468"/>
      <c r="F15" s="505">
        <f t="shared" si="0"/>
        <v>9</v>
      </c>
      <c r="G15" s="506"/>
      <c r="H15" s="506"/>
      <c r="I15" s="506"/>
      <c r="J15" s="506"/>
      <c r="K15" s="575"/>
      <c r="L15" s="506"/>
      <c r="M15" s="506"/>
      <c r="O15" s="572"/>
      <c r="P15" s="468"/>
      <c r="R15" s="450" t="s">
        <v>1217</v>
      </c>
    </row>
    <row r="16" spans="1:35" ht="15.75">
      <c r="A16" s="468"/>
      <c r="B16" s="752" t="s">
        <v>1216</v>
      </c>
      <c r="C16" s="780"/>
      <c r="D16" s="780"/>
      <c r="E16" s="468"/>
      <c r="F16" s="505">
        <f t="shared" si="0"/>
        <v>10</v>
      </c>
      <c r="G16" s="506"/>
      <c r="H16" s="554" t="s">
        <v>1215</v>
      </c>
      <c r="I16" s="556">
        <f>+I8/I7</f>
        <v>0.97716492517148734</v>
      </c>
      <c r="J16" s="574"/>
      <c r="K16" s="556">
        <f ca="1">+K8/K7</f>
        <v>0.92193000000000003</v>
      </c>
      <c r="L16" s="573"/>
      <c r="M16" s="556">
        <f ca="1">+M8/M7</f>
        <v>0.92204072599134057</v>
      </c>
      <c r="O16" s="572"/>
      <c r="P16" s="468"/>
      <c r="R16" s="585">
        <v>1</v>
      </c>
      <c r="S16" s="584">
        <f ca="1">AI11/Investment*100</f>
        <v>268.16599402082272</v>
      </c>
      <c r="T16" s="583">
        <f ca="1">EXP(y_inter1-(slope*LN(+S16)))</f>
        <v>6.6844678923653591</v>
      </c>
      <c r="U16" s="582">
        <f ca="1">(+S16*T16/100)/100</f>
        <v>0.17925469768564301</v>
      </c>
      <c r="V16" s="582">
        <f>regDebt_weighted</f>
        <v>3.5860000000000003E-2</v>
      </c>
      <c r="W16" s="582">
        <f ca="1">+U16-V16</f>
        <v>0.143394697685643</v>
      </c>
      <c r="X16" s="582">
        <f ca="1">+((W16*(1-0.34))-Pfd_weighted)/Equity_percent</f>
        <v>0.25712354788524527</v>
      </c>
      <c r="Y16" s="582">
        <f ca="1">+X16*equityP</f>
        <v>0.15427412873114715</v>
      </c>
      <c r="Z16" s="582">
        <f ca="1">+Y16/(1-taxrate)</f>
        <v>0.19528370725461663</v>
      </c>
      <c r="AA16" s="582">
        <f>debtP*Debt_Rate</f>
        <v>2.0000000000000004E-2</v>
      </c>
      <c r="AB16" s="582">
        <f ca="1">+AA16+Z16</f>
        <v>0.21528370725461665</v>
      </c>
      <c r="AC16" s="582">
        <f ca="1">+AB16/(S16/100)</f>
        <v>8.0280017621436439E-2</v>
      </c>
      <c r="AD16" s="582">
        <f ca="1">1-AC16</f>
        <v>0.91971998237856356</v>
      </c>
      <c r="AE16" s="579">
        <f ca="1">expenses/(AD16)</f>
        <v>2050539.0533792758</v>
      </c>
      <c r="AF16" s="581">
        <f ca="1">+AE16-Revenue</f>
        <v>120545.77030111523</v>
      </c>
      <c r="AG16" s="580">
        <f ca="1">+AF16/$J$49</f>
        <v>134023.02877519</v>
      </c>
      <c r="AH16" s="580">
        <f ca="1">+AG16*$J$47</f>
        <v>3028.9204503192946</v>
      </c>
      <c r="AI16" s="579">
        <f ca="1">ROUND(+AH16+AE16,5)</f>
        <v>2053567.97383</v>
      </c>
    </row>
    <row r="17" spans="1:35" ht="15.75">
      <c r="A17" s="468"/>
      <c r="B17" s="779"/>
      <c r="C17" s="780"/>
      <c r="D17" s="468" t="s">
        <v>1214</v>
      </c>
      <c r="E17" s="468"/>
      <c r="F17" s="505">
        <f t="shared" si="0"/>
        <v>11</v>
      </c>
      <c r="G17" s="506"/>
      <c r="H17" s="506"/>
      <c r="I17" s="506"/>
      <c r="K17" s="506"/>
      <c r="L17" s="554"/>
      <c r="M17" s="554"/>
      <c r="N17" s="556"/>
      <c r="O17" s="468"/>
      <c r="P17" s="468"/>
      <c r="R17" s="544">
        <v>2</v>
      </c>
      <c r="S17" s="539">
        <f ca="1">AI12/Investment*100</f>
        <v>267.75411246030154</v>
      </c>
      <c r="T17" s="543">
        <f ca="1">EXP(y_inter2-(slope*LN(+S17)))</f>
        <v>6.5962907265233728</v>
      </c>
      <c r="U17" s="537">
        <f ca="1">(+S17*T17/100)/100</f>
        <v>0.17661839690103831</v>
      </c>
      <c r="V17" s="537">
        <f>regDebt_weighted</f>
        <v>3.5860000000000003E-2</v>
      </c>
      <c r="W17" s="537">
        <f ca="1">+U17-V17</f>
        <v>0.14075839690103831</v>
      </c>
      <c r="X17" s="537">
        <f ca="1">+((W17*(1-0.34))-Pfd_weighted)/Equity_percent</f>
        <v>0.25206552893803863</v>
      </c>
      <c r="Y17" s="537">
        <f ca="1">+X17*equityP</f>
        <v>0.15123931736282317</v>
      </c>
      <c r="Z17" s="537">
        <f ca="1">+Y17/(1-taxrate)</f>
        <v>0.19144217387699136</v>
      </c>
      <c r="AA17" s="537">
        <f>debtP*Debt_Rate</f>
        <v>2.0000000000000004E-2</v>
      </c>
      <c r="AB17" s="537">
        <f ca="1">+AA17+Z17</f>
        <v>0.21144217387699138</v>
      </c>
      <c r="AC17" s="537">
        <f ca="1">+AB17/(S17/100)</f>
        <v>7.8968786673011701E-2</v>
      </c>
      <c r="AD17" s="537">
        <f ca="1">1-AC17</f>
        <v>0.92103121332698834</v>
      </c>
      <c r="AE17" s="534">
        <f ca="1">expenses/(AD17)</f>
        <v>2047619.7926323656</v>
      </c>
      <c r="AF17" s="536">
        <f ca="1">+AE17-Revenue</f>
        <v>117626.509554205</v>
      </c>
      <c r="AG17" s="535">
        <f ca="1">+AF17/$J$49</f>
        <v>130777.38883188779</v>
      </c>
      <c r="AH17" s="535">
        <f ca="1">+AG17*$J$47</f>
        <v>2955.5689876006641</v>
      </c>
      <c r="AI17" s="534">
        <f ca="1">ROUND(+AH17+AE17,5)</f>
        <v>2050575.3616200001</v>
      </c>
    </row>
    <row r="18" spans="1:35" ht="15.75">
      <c r="A18" s="468"/>
      <c r="B18" s="781" t="s">
        <v>1213</v>
      </c>
      <c r="C18" s="781"/>
      <c r="D18" s="468"/>
      <c r="E18" s="468"/>
      <c r="F18" s="505">
        <f t="shared" si="0"/>
        <v>12</v>
      </c>
      <c r="G18" s="506"/>
      <c r="H18" s="751" t="s">
        <v>143</v>
      </c>
      <c r="I18" s="736"/>
      <c r="J18" s="736"/>
      <c r="K18" s="736"/>
      <c r="L18" s="736"/>
      <c r="M18" s="735"/>
      <c r="O18" s="468"/>
      <c r="P18" s="468"/>
      <c r="R18" s="512">
        <v>3</v>
      </c>
      <c r="S18" s="539">
        <f ca="1">AI13/Investment*100</f>
        <v>267.47735801512562</v>
      </c>
      <c r="T18" s="540">
        <f ca="1">EXP(y_inter3-(slope*LN(S18)))</f>
        <v>6.5367787376454451</v>
      </c>
      <c r="U18" s="537">
        <f ca="1">(+S18*T18/100)/100</f>
        <v>0.17484403066748516</v>
      </c>
      <c r="V18" s="537">
        <f>regDebt_weighted</f>
        <v>3.5860000000000003E-2</v>
      </c>
      <c r="W18" s="537">
        <f ca="1">+U18-V18</f>
        <v>0.13898403066748516</v>
      </c>
      <c r="X18" s="537">
        <f ca="1">+((W18*(1-0.34))-Pfd_weighted)/Equity_percent</f>
        <v>0.24866122162947735</v>
      </c>
      <c r="Y18" s="537">
        <f ca="1">+X18*equityP</f>
        <v>0.1491967329776864</v>
      </c>
      <c r="Z18" s="537">
        <f ca="1">+Y18/(1-taxrate)</f>
        <v>0.18885662402238784</v>
      </c>
      <c r="AA18" s="537">
        <f>debtP*Debt_Rate</f>
        <v>2.0000000000000004E-2</v>
      </c>
      <c r="AB18" s="537">
        <f ca="1">+AA18+Z18</f>
        <v>0.20885662402238786</v>
      </c>
      <c r="AC18" s="537">
        <f ca="1">+AB18/(S18/100)</f>
        <v>7.8083851871520726E-2</v>
      </c>
      <c r="AD18" s="537">
        <f ca="1">1-AC18</f>
        <v>0.92191614812847922</v>
      </c>
      <c r="AE18" s="534">
        <f ca="1">expenses/(AD18)</f>
        <v>2045654.3101767211</v>
      </c>
      <c r="AF18" s="536">
        <f ca="1">+AE18-Revenue</f>
        <v>115661.02709856047</v>
      </c>
      <c r="AG18" s="535">
        <f ca="1">+AF18/$J$49</f>
        <v>128592.16150245124</v>
      </c>
      <c r="AH18" s="535">
        <f ca="1">+AG18*$J$47</f>
        <v>2906.1828499553985</v>
      </c>
      <c r="AI18" s="534">
        <f ca="1">ROUND(+AH18+AE18,5)</f>
        <v>2048560.49303</v>
      </c>
    </row>
    <row r="19" spans="1:35" ht="15.75">
      <c r="A19" s="468"/>
      <c r="B19" s="468"/>
      <c r="C19" s="468"/>
      <c r="D19" s="468"/>
      <c r="E19" s="468"/>
      <c r="F19" s="505">
        <f t="shared" si="0"/>
        <v>13</v>
      </c>
      <c r="G19" s="506"/>
      <c r="H19" s="504"/>
      <c r="I19" s="570" t="s">
        <v>1212</v>
      </c>
      <c r="J19" s="507">
        <f>+Revenue</f>
        <v>1929993.2830781606</v>
      </c>
      <c r="K19" s="571"/>
      <c r="L19" s="570" t="s">
        <v>1211</v>
      </c>
      <c r="M19" s="569">
        <f ca="1">+J7</f>
        <v>115630.29142374732</v>
      </c>
      <c r="O19" s="468"/>
      <c r="P19" s="468"/>
      <c r="R19" s="518">
        <v>4</v>
      </c>
      <c r="S19" s="539">
        <f ca="1">AI14/Investment*100</f>
        <v>267.30061963662638</v>
      </c>
      <c r="T19" s="538">
        <f ca="1">EXP(y_inter4-(slope*LN(S19)))</f>
        <v>6.4986625069652257</v>
      </c>
      <c r="U19" s="537">
        <f ca="1">(+S19*T19/100)/100</f>
        <v>0.17370965149211165</v>
      </c>
      <c r="V19" s="537">
        <f>regDebt_weighted</f>
        <v>3.5860000000000003E-2</v>
      </c>
      <c r="W19" s="537">
        <f ca="1">+U19-V19</f>
        <v>0.13784965149211165</v>
      </c>
      <c r="X19" s="537">
        <f ca="1">+((W19*(1-0.34))-Pfd_weighted)/Equity_percent</f>
        <v>0.24648479646742349</v>
      </c>
      <c r="Y19" s="537">
        <f ca="1">+X19*equityP</f>
        <v>0.1478908778804541</v>
      </c>
      <c r="Z19" s="537">
        <f ca="1">+Y19/(1-taxrate)</f>
        <v>0.18720364288665076</v>
      </c>
      <c r="AA19" s="537">
        <f>debtP*Debt_Rate</f>
        <v>2.0000000000000004E-2</v>
      </c>
      <c r="AB19" s="537">
        <f ca="1">+AA19+Z19</f>
        <v>0.20720364288665077</v>
      </c>
      <c r="AC19" s="537">
        <f ca="1">+AB19/(S19/100)</f>
        <v>7.751708288904359E-2</v>
      </c>
      <c r="AD19" s="537">
        <f ca="1">1-AC19</f>
        <v>0.92248291711095642</v>
      </c>
      <c r="AE19" s="534">
        <f ca="1">expenses/(AD19)</f>
        <v>2044397.4701958681</v>
      </c>
      <c r="AF19" s="536">
        <f ca="1">+AE19-Revenue</f>
        <v>114404.18711770745</v>
      </c>
      <c r="AG19" s="535">
        <f ca="1">+AF19/$J$49</f>
        <v>127194.80429531816</v>
      </c>
      <c r="AH19" s="535">
        <f ca="1">+AG19*$J$47</f>
        <v>2874.6025770741908</v>
      </c>
      <c r="AI19" s="534">
        <f ca="1">ROUND(+AH19+AE19,5)</f>
        <v>2047272.07277</v>
      </c>
    </row>
    <row r="20" spans="1:35" ht="15.75">
      <c r="A20" s="468"/>
      <c r="B20" s="568"/>
      <c r="C20" s="468"/>
      <c r="D20" s="468"/>
      <c r="E20" s="468"/>
      <c r="F20" s="505">
        <f t="shared" si="0"/>
        <v>14</v>
      </c>
      <c r="G20" s="506"/>
      <c r="H20" s="504"/>
      <c r="I20" s="570" t="s">
        <v>1207</v>
      </c>
      <c r="J20" s="507">
        <f ca="1">+J21-J19</f>
        <v>118535.70198684628</v>
      </c>
      <c r="K20" s="571"/>
      <c r="L20" s="570" t="s">
        <v>1210</v>
      </c>
      <c r="M20" s="569">
        <f ca="1">+L8</f>
        <v>2905.4105630990089</v>
      </c>
      <c r="O20" s="468"/>
      <c r="P20" s="468"/>
      <c r="R20" s="450" t="s">
        <v>1209</v>
      </c>
    </row>
    <row r="21" spans="1:35" ht="16.5" thickBot="1">
      <c r="A21" s="468"/>
      <c r="B21" s="568" t="s">
        <v>1208</v>
      </c>
      <c r="C21" s="468"/>
      <c r="D21" s="468"/>
      <c r="E21" s="468"/>
      <c r="F21" s="505">
        <f t="shared" si="0"/>
        <v>15</v>
      </c>
      <c r="G21" s="506"/>
      <c r="H21" s="504"/>
      <c r="I21" s="566" t="s">
        <v>143</v>
      </c>
      <c r="J21" s="567">
        <f ca="1">+M7</f>
        <v>2048528.9850650069</v>
      </c>
      <c r="K21" s="463"/>
      <c r="L21" s="566" t="s">
        <v>1207</v>
      </c>
      <c r="M21" s="565">
        <f ca="1">+M19+M20</f>
        <v>118535.70198684632</v>
      </c>
      <c r="O21" s="468"/>
      <c r="P21" s="468"/>
      <c r="R21" s="585">
        <v>1</v>
      </c>
      <c r="S21" s="584">
        <f ca="1">AI16/Investment*100</f>
        <v>268.22019156124315</v>
      </c>
      <c r="T21" s="583">
        <f ca="1">EXP(y_inter1-(slope*LN(+S21)))</f>
        <v>6.6835444381776599</v>
      </c>
      <c r="U21" s="582">
        <f ca="1">(+S21*T21/100)/100</f>
        <v>0.1792661569516093</v>
      </c>
      <c r="V21" s="582">
        <f>regDebt_weighted</f>
        <v>3.5860000000000003E-2</v>
      </c>
      <c r="W21" s="582">
        <f ca="1">+U21-V21</f>
        <v>0.1434061569516093</v>
      </c>
      <c r="X21" s="582">
        <f ca="1">+((W21*(1-0.34))-Pfd_weighted)/Equity_percent</f>
        <v>0.25714553368622717</v>
      </c>
      <c r="Y21" s="582">
        <f ca="1">+X21*equityP</f>
        <v>0.1542873202117363</v>
      </c>
      <c r="Z21" s="582">
        <f ca="1">+Y21/(1-taxrate)</f>
        <v>0.19530040533131177</v>
      </c>
      <c r="AA21" s="582">
        <f>debtP*Debt_Rate</f>
        <v>2.0000000000000004E-2</v>
      </c>
      <c r="AB21" s="582">
        <f ca="1">+AA21+Z21</f>
        <v>0.21530040533131178</v>
      </c>
      <c r="AC21" s="582">
        <f ca="1">+AB21/(S21/100)</f>
        <v>8.0270021461882321E-2</v>
      </c>
      <c r="AD21" s="582">
        <f ca="1">1-AC21</f>
        <v>0.91972997853811767</v>
      </c>
      <c r="AE21" s="579">
        <f ca="1">expenses/(AD21)</f>
        <v>2050516.7669299617</v>
      </c>
      <c r="AF21" s="581">
        <f ca="1">+AE21-Revenue</f>
        <v>120523.48385180114</v>
      </c>
      <c r="AG21" s="580">
        <f ca="1">+AF21/$J$49</f>
        <v>133998.25065622109</v>
      </c>
      <c r="AH21" s="580">
        <f ca="1">+AG21*$J$47</f>
        <v>3028.3604648305968</v>
      </c>
      <c r="AI21" s="579">
        <f ca="1">ROUND(+AH21+AE21,5)</f>
        <v>2053545.12739</v>
      </c>
    </row>
    <row r="22" spans="1:35" ht="16.5" thickTop="1">
      <c r="A22" s="468"/>
      <c r="B22" s="468" t="s">
        <v>1206</v>
      </c>
      <c r="C22" s="468"/>
      <c r="D22" s="468"/>
      <c r="E22" s="468"/>
      <c r="F22" s="505">
        <f t="shared" si="0"/>
        <v>16</v>
      </c>
      <c r="G22" s="506"/>
      <c r="H22" s="460"/>
      <c r="I22" s="516"/>
      <c r="J22" s="750" t="s">
        <v>1479</v>
      </c>
      <c r="K22" s="749">
        <f ca="1">+(J21/J19)-1</f>
        <v>6.1417675919468895E-2</v>
      </c>
      <c r="L22" s="516"/>
      <c r="M22" s="515"/>
      <c r="O22" s="468"/>
      <c r="P22" s="468"/>
      <c r="R22" s="544">
        <v>2</v>
      </c>
      <c r="S22" s="539">
        <f ca="1">AI17/Investment*100</f>
        <v>267.82932111991192</v>
      </c>
      <c r="T22" s="543">
        <f ca="1">EXP(y_inter2-(slope*LN(+S22)))</f>
        <v>6.5950243136091897</v>
      </c>
      <c r="U22" s="537">
        <f ca="1">(+S22*T22/100)/100</f>
        <v>0.17663408846832623</v>
      </c>
      <c r="V22" s="537">
        <f>regDebt_weighted</f>
        <v>3.5860000000000003E-2</v>
      </c>
      <c r="W22" s="537">
        <f ca="1">+U22-V22</f>
        <v>0.14077408846832623</v>
      </c>
      <c r="X22" s="537">
        <f ca="1">+((W22*(1-0.34))-Pfd_weighted)/Equity_percent</f>
        <v>0.25209563485202124</v>
      </c>
      <c r="Y22" s="537">
        <f ca="1">+X22*equityP</f>
        <v>0.15125738091121274</v>
      </c>
      <c r="Z22" s="537">
        <f ca="1">+Y22/(1-taxrate)</f>
        <v>0.19146503912811738</v>
      </c>
      <c r="AA22" s="537">
        <f>debtP*Debt_Rate</f>
        <v>2.0000000000000004E-2</v>
      </c>
      <c r="AB22" s="537">
        <f ca="1">+AA22+Z22</f>
        <v>0.21146503912811737</v>
      </c>
      <c r="AC22" s="537">
        <f ca="1">+AB22/(S22/100)</f>
        <v>7.8955148840272327E-2</v>
      </c>
      <c r="AD22" s="537">
        <f ca="1">1-AC22</f>
        <v>0.92104485115972767</v>
      </c>
      <c r="AE22" s="534">
        <f ca="1">expenses/(AD22)</f>
        <v>2047589.4737003283</v>
      </c>
      <c r="AF22" s="536">
        <f ca="1">+AE22-Revenue</f>
        <v>117596.19062216766</v>
      </c>
      <c r="AG22" s="535">
        <f ca="1">+AF22/$J$49</f>
        <v>130743.6801825447</v>
      </c>
      <c r="AH22" s="535">
        <f ca="1">+AG22*$J$47</f>
        <v>2954.8071721255105</v>
      </c>
      <c r="AI22" s="534">
        <f ca="1">ROUND(+AH22+AE22,5)</f>
        <v>2050544.2808699999</v>
      </c>
    </row>
    <row r="23" spans="1:35" ht="15.75">
      <c r="A23" s="468"/>
      <c r="B23" s="468" t="s">
        <v>1205</v>
      </c>
      <c r="C23" s="468"/>
      <c r="D23" s="468"/>
      <c r="E23" s="468"/>
      <c r="F23" s="505">
        <f t="shared" si="0"/>
        <v>17</v>
      </c>
      <c r="H23" s="506"/>
      <c r="I23" s="506"/>
      <c r="J23" s="506"/>
      <c r="K23" s="506"/>
      <c r="L23" s="506"/>
      <c r="M23" s="506"/>
      <c r="N23" s="506"/>
      <c r="O23" s="468"/>
      <c r="P23" s="468"/>
      <c r="R23" s="512">
        <v>3</v>
      </c>
      <c r="S23" s="539">
        <f ca="1">AI18/Investment*100</f>
        <v>267.56615552419385</v>
      </c>
      <c r="T23" s="540">
        <f ca="1">EXP(y_inter3-(slope*LN(S23)))</f>
        <v>6.5352955274176523</v>
      </c>
      <c r="U23" s="537">
        <f ca="1">(+S23*T23/100)/100</f>
        <v>0.17486238994856002</v>
      </c>
      <c r="V23" s="537">
        <f>regDebt_weighted</f>
        <v>3.5860000000000003E-2</v>
      </c>
      <c r="W23" s="537">
        <f ca="1">+U23-V23</f>
        <v>0.13900238994856001</v>
      </c>
      <c r="X23" s="537">
        <f ca="1">+((W23*(1-0.34))-Pfd_weighted)/Equity_percent</f>
        <v>0.24869644583153955</v>
      </c>
      <c r="Y23" s="537">
        <f ca="1">+X23*equityP</f>
        <v>0.14921786749892371</v>
      </c>
      <c r="Z23" s="537">
        <f ca="1">+Y23/(1-taxrate)</f>
        <v>0.18888337658091608</v>
      </c>
      <c r="AA23" s="537">
        <f>debtP*Debt_Rate</f>
        <v>2.0000000000000004E-2</v>
      </c>
      <c r="AB23" s="537">
        <f ca="1">+AA23+Z23</f>
        <v>0.2088833765809161</v>
      </c>
      <c r="AC23" s="537">
        <f ca="1">+AB23/(S23/100)</f>
        <v>7.8067936571308422E-2</v>
      </c>
      <c r="AD23" s="537">
        <f ca="1">1-AC23</f>
        <v>0.92193206342869161</v>
      </c>
      <c r="AE23" s="534">
        <f ca="1">expenses/(AD23)</f>
        <v>2045618.9960752069</v>
      </c>
      <c r="AF23" s="536">
        <f ca="1">+AE23-Revenue</f>
        <v>115625.7129970463</v>
      </c>
      <c r="AG23" s="535">
        <f ca="1">+AF23/$J$49</f>
        <v>128552.89921368258</v>
      </c>
      <c r="AH23" s="535">
        <f ca="1">+AG23*$J$47</f>
        <v>2905.2955222292267</v>
      </c>
      <c r="AI23" s="534">
        <f ca="1">ROUND(+AH23+AE23,5)</f>
        <v>2048524.2916000001</v>
      </c>
    </row>
    <row r="24" spans="1:35" ht="15.75">
      <c r="A24" s="468"/>
      <c r="B24" s="468" t="s">
        <v>1204</v>
      </c>
      <c r="C24" s="468"/>
      <c r="D24" s="468"/>
      <c r="E24" s="468"/>
      <c r="F24" s="505">
        <f t="shared" si="0"/>
        <v>18</v>
      </c>
      <c r="H24" s="501"/>
      <c r="J24" s="564" t="s">
        <v>1203</v>
      </c>
      <c r="K24" s="563" t="s">
        <v>1202</v>
      </c>
      <c r="L24" s="563"/>
      <c r="M24" s="563"/>
      <c r="N24" s="563"/>
      <c r="O24" s="468"/>
      <c r="P24" s="468"/>
      <c r="R24" s="518">
        <v>4</v>
      </c>
      <c r="S24" s="539">
        <f ca="1">AI19/Investment*100</f>
        <v>267.3978726461238</v>
      </c>
      <c r="T24" s="538">
        <f ca="1">EXP(y_inter4-(slope*LN(S24)))</f>
        <v>6.4970465098013062</v>
      </c>
      <c r="U24" s="537">
        <f ca="1">(+S24*T24/100)/100</f>
        <v>0.17372964152037926</v>
      </c>
      <c r="V24" s="537">
        <f>regDebt_weighted</f>
        <v>3.5860000000000003E-2</v>
      </c>
      <c r="W24" s="537">
        <f ca="1">+U24-V24</f>
        <v>0.13786964152037925</v>
      </c>
      <c r="X24" s="537">
        <f ca="1">+((W24*(1-0.34))-Pfd_weighted)/Equity_percent</f>
        <v>0.2465231494286346</v>
      </c>
      <c r="Y24" s="537">
        <f ca="1">+X24*equityP</f>
        <v>0.14791388965718075</v>
      </c>
      <c r="Z24" s="537">
        <f ca="1">+Y24/(1-taxrate)</f>
        <v>0.1872327717179503</v>
      </c>
      <c r="AA24" s="537">
        <f>debtP*Debt_Rate</f>
        <v>2.0000000000000004E-2</v>
      </c>
      <c r="AB24" s="537">
        <f ca="1">+AA24+Z24</f>
        <v>0.20723277171795029</v>
      </c>
      <c r="AC24" s="537">
        <f ca="1">+AB24/(S24/100)</f>
        <v>7.7499783250782855E-2</v>
      </c>
      <c r="AD24" s="537">
        <f ca="1">1-AC24</f>
        <v>0.92250021674921712</v>
      </c>
      <c r="AE24" s="534">
        <f ca="1">expenses/(AD24)</f>
        <v>2044359.1316285124</v>
      </c>
      <c r="AF24" s="536">
        <f ca="1">+AE24-Revenue</f>
        <v>114365.8485503518</v>
      </c>
      <c r="AG24" s="535">
        <f ca="1">+AF24/$J$49</f>
        <v>127152.17939937141</v>
      </c>
      <c r="AH24" s="535">
        <f ca="1">+AG24*$J$47</f>
        <v>2873.6392544257942</v>
      </c>
      <c r="AI24" s="534">
        <f ca="1">ROUND(+AH24+AE24,5)</f>
        <v>2047232.77088</v>
      </c>
    </row>
    <row r="25" spans="1:35" ht="15.75">
      <c r="A25" s="468"/>
      <c r="B25" s="468" t="s">
        <v>1201</v>
      </c>
      <c r="C25" s="468"/>
      <c r="D25" s="468"/>
      <c r="E25" s="468"/>
      <c r="F25" s="505">
        <f t="shared" si="0"/>
        <v>19</v>
      </c>
      <c r="H25" s="561" t="s">
        <v>1200</v>
      </c>
      <c r="I25" s="562" t="s">
        <v>451</v>
      </c>
      <c r="J25" s="560" t="s">
        <v>107</v>
      </c>
      <c r="K25" s="561" t="s">
        <v>1199</v>
      </c>
      <c r="L25" s="560" t="s">
        <v>1183</v>
      </c>
      <c r="M25" s="560" t="s">
        <v>107</v>
      </c>
      <c r="O25" s="468"/>
      <c r="P25" s="468"/>
      <c r="R25" s="450" t="s">
        <v>1198</v>
      </c>
      <c r="W25" s="456"/>
      <c r="X25" s="454"/>
      <c r="Y25" s="453"/>
      <c r="Z25" s="453"/>
      <c r="AA25" s="454"/>
      <c r="AC25" s="454"/>
      <c r="AD25" s="454"/>
      <c r="AE25" s="453"/>
      <c r="AF25" s="456"/>
    </row>
    <row r="26" spans="1:35" ht="15.75">
      <c r="A26" s="468"/>
      <c r="B26" s="468"/>
      <c r="C26" s="468"/>
      <c r="D26" s="468"/>
      <c r="E26" s="468"/>
      <c r="F26" s="505">
        <f t="shared" si="0"/>
        <v>20</v>
      </c>
      <c r="H26" s="554" t="s">
        <v>1176</v>
      </c>
      <c r="I26" s="555">
        <f>1-I27</f>
        <v>0.6</v>
      </c>
      <c r="J26" s="559">
        <f>+I26*J28</f>
        <v>459376.59544794675</v>
      </c>
      <c r="K26" s="556">
        <f ca="1">+K34</f>
        <v>0.24830940836196819</v>
      </c>
      <c r="L26" s="555">
        <f ca="1">+K26*I26</f>
        <v>0.1489856450171809</v>
      </c>
      <c r="M26" s="558">
        <f ca="1">+J26*K26</f>
        <v>114067.53063101486</v>
      </c>
      <c r="O26" s="468"/>
      <c r="P26" s="468"/>
      <c r="R26" s="585">
        <v>1</v>
      </c>
      <c r="S26" s="584">
        <f ca="1">AI21/Investment*100</f>
        <v>268.21720754679063</v>
      </c>
      <c r="T26" s="583">
        <f ca="1">EXP(y_inter1-(slope*LN(+S26)))</f>
        <v>6.6835952736524868</v>
      </c>
      <c r="U26" s="582">
        <f ca="1">(+S26*T26/100)/100</f>
        <v>0.17926552606719981</v>
      </c>
      <c r="V26" s="582">
        <f>regDebt_weighted</f>
        <v>3.5860000000000003E-2</v>
      </c>
      <c r="W26" s="582">
        <f ca="1">+U26-V26</f>
        <v>0.14340552606719981</v>
      </c>
      <c r="X26" s="582">
        <f ca="1">+((W26*(1-0.34))-Pfd_weighted)/Equity_percent</f>
        <v>0.2571443232684647</v>
      </c>
      <c r="Y26" s="582">
        <f ca="1">+X26*equityP</f>
        <v>0.15428659396107883</v>
      </c>
      <c r="Z26" s="582">
        <f ca="1">+Y26/(1-taxrate)</f>
        <v>0.19529948602668204</v>
      </c>
      <c r="AA26" s="582">
        <f>debtP*Debt_Rate</f>
        <v>2.0000000000000004E-2</v>
      </c>
      <c r="AB26" s="582">
        <f ca="1">+AA26+Z26</f>
        <v>0.21529948602668203</v>
      </c>
      <c r="AC26" s="582">
        <f ca="1">+AB26/(S26/100)</f>
        <v>8.0270571748877417E-2</v>
      </c>
      <c r="AD26" s="582">
        <f ca="1">1-AC26</f>
        <v>0.91972942825112258</v>
      </c>
      <c r="AE26" s="579">
        <f ca="1">expenses/(AD26)</f>
        <v>2050517.9937828549</v>
      </c>
      <c r="AF26" s="581">
        <f ca="1">+AE26-Revenue</f>
        <v>120524.71070469427</v>
      </c>
      <c r="AG26" s="580">
        <f ca="1">+AF26/$J$49</f>
        <v>133999.61467372405</v>
      </c>
      <c r="AH26" s="580">
        <f ca="1">+AG26*$J$47</f>
        <v>3028.3912916261638</v>
      </c>
      <c r="AI26" s="579">
        <f ca="1">ROUND(+AH26+AE26,5)</f>
        <v>2053546.3850700001</v>
      </c>
    </row>
    <row r="27" spans="1:35" ht="15.75">
      <c r="A27" s="468"/>
      <c r="B27" s="468"/>
      <c r="C27" s="468"/>
      <c r="D27" s="468"/>
      <c r="E27" s="468"/>
      <c r="F27" s="505">
        <f t="shared" si="0"/>
        <v>21</v>
      </c>
      <c r="H27" s="554" t="s">
        <v>1180</v>
      </c>
      <c r="I27" s="555">
        <f>IF(A65=TRUE,C8,0)</f>
        <v>0.4</v>
      </c>
      <c r="J27" s="557">
        <f>+I27*J28</f>
        <v>306251.06363196456</v>
      </c>
      <c r="K27" s="556">
        <f>IF(A65=TRUE,C9,0)</f>
        <v>0.05</v>
      </c>
      <c r="L27" s="555">
        <f>+K27*I27</f>
        <v>2.0000000000000004E-2</v>
      </c>
      <c r="M27" s="507">
        <f>+K27*J27</f>
        <v>15312.553181598229</v>
      </c>
      <c r="O27" s="468"/>
      <c r="P27" s="468"/>
      <c r="R27" s="544">
        <v>2</v>
      </c>
      <c r="S27" s="539">
        <f ca="1">AI22/Investment*100</f>
        <v>267.82526160748034</v>
      </c>
      <c r="T27" s="543">
        <f ca="1">EXP(y_inter2-(slope*LN(+S27)))</f>
        <v>6.5950926550642057</v>
      </c>
      <c r="U27" s="537">
        <f ca="1">(+S27*T27/100)/100</f>
        <v>0.17663324156681429</v>
      </c>
      <c r="V27" s="537">
        <f>regDebt_weighted</f>
        <v>3.5860000000000003E-2</v>
      </c>
      <c r="W27" s="537">
        <f ca="1">+U27-V27</f>
        <v>0.14077324156681428</v>
      </c>
      <c r="X27" s="537">
        <f ca="1">+((W27*(1-0.34))-Pfd_weighted)/Equity_percent</f>
        <v>0.25209400998284137</v>
      </c>
      <c r="Y27" s="537">
        <f ca="1">+X27*equityP</f>
        <v>0.15125640598970483</v>
      </c>
      <c r="Z27" s="537">
        <f ca="1">+Y27/(1-taxrate)</f>
        <v>0.19146380505025926</v>
      </c>
      <c r="AA27" s="537">
        <f>debtP*Debt_Rate</f>
        <v>2.0000000000000004E-2</v>
      </c>
      <c r="AB27" s="537">
        <f ca="1">+AA27+Z27</f>
        <v>0.21146380505025925</v>
      </c>
      <c r="AC27" s="537">
        <f ca="1">+AB27/(S27/100)</f>
        <v>7.8955884811260493E-2</v>
      </c>
      <c r="AD27" s="537">
        <f ca="1">1-AC27</f>
        <v>0.92104411518873952</v>
      </c>
      <c r="AE27" s="534">
        <f ca="1">expenses/(AD27)</f>
        <v>2047591.1098504579</v>
      </c>
      <c r="AF27" s="536">
        <f ca="1">+AE27-Revenue</f>
        <v>117597.82677229727</v>
      </c>
      <c r="AG27" s="535">
        <f ca="1">+AF27/$J$49</f>
        <v>130745.49925753467</v>
      </c>
      <c r="AH27" s="535">
        <f ca="1">+AG27*$J$47</f>
        <v>2954.848283220284</v>
      </c>
      <c r="AI27" s="534">
        <f ca="1">ROUND(+AH27+AE27,5)</f>
        <v>2050545.9581299999</v>
      </c>
    </row>
    <row r="28" spans="1:35" ht="16.5" thickBot="1">
      <c r="A28" s="468"/>
      <c r="B28" s="468"/>
      <c r="C28" s="468"/>
      <c r="D28" s="468"/>
      <c r="E28" s="468"/>
      <c r="F28" s="505">
        <f t="shared" si="0"/>
        <v>22</v>
      </c>
      <c r="H28" s="554" t="s">
        <v>2</v>
      </c>
      <c r="I28" s="553">
        <f>SUM(I26:I27)</f>
        <v>1</v>
      </c>
      <c r="J28" s="513">
        <f>IF(A65=TRUE,C7,0)</f>
        <v>765627.6590799113</v>
      </c>
      <c r="K28" s="552"/>
      <c r="L28" s="551">
        <f ca="1">SUM(L26:L27)</f>
        <v>0.16898564501718089</v>
      </c>
      <c r="M28" s="513">
        <f ca="1">SUM(M26:M27)</f>
        <v>129380.08381261308</v>
      </c>
      <c r="O28" s="468"/>
      <c r="P28" s="468"/>
      <c r="R28" s="512">
        <v>3</v>
      </c>
      <c r="S28" s="539">
        <f ca="1">AI23/Investment*100</f>
        <v>267.56142719057493</v>
      </c>
      <c r="T28" s="540">
        <f ca="1">EXP(y_inter3-(slope*LN(S28)))</f>
        <v>6.5353744852375026</v>
      </c>
      <c r="U28" s="537">
        <f ca="1">(+S28*T28/100)/100</f>
        <v>0.17486141244950151</v>
      </c>
      <c r="V28" s="537">
        <f>regDebt_weighted</f>
        <v>3.5860000000000003E-2</v>
      </c>
      <c r="W28" s="537">
        <f ca="1">+U28-V28</f>
        <v>0.13900141244950151</v>
      </c>
      <c r="X28" s="537">
        <f ca="1">+((W28*(1-0.34))-Pfd_weighted)/Equity_percent</f>
        <v>0.24869457039729939</v>
      </c>
      <c r="Y28" s="537">
        <f ca="1">+X28*equityP</f>
        <v>0.14921674223837963</v>
      </c>
      <c r="Z28" s="537">
        <f ca="1">+Y28/(1-taxrate)</f>
        <v>0.18888195220048054</v>
      </c>
      <c r="AA28" s="537">
        <f>debtP*Debt_Rate</f>
        <v>2.0000000000000004E-2</v>
      </c>
      <c r="AB28" s="537">
        <f ca="1">+AA28+Z28</f>
        <v>0.20888195220048056</v>
      </c>
      <c r="AC28" s="537">
        <f ca="1">+AB28/(S28/100)</f>
        <v>7.806878382798467E-2</v>
      </c>
      <c r="AD28" s="537">
        <f ca="1">1-AC28</f>
        <v>0.92193121617201534</v>
      </c>
      <c r="AE28" s="534">
        <f ca="1">expenses/(AD28)</f>
        <v>2045620.8760032547</v>
      </c>
      <c r="AF28" s="536">
        <f ca="1">+AE28-Revenue</f>
        <v>115627.59292509407</v>
      </c>
      <c r="AG28" s="535">
        <f ca="1">+AF28/$J$49</f>
        <v>128554.98932145005</v>
      </c>
      <c r="AH28" s="535">
        <f ca="1">+AG28*$J$47</f>
        <v>2905.3427586647713</v>
      </c>
      <c r="AI28" s="534">
        <f ca="1">ROUND(+AH28+AE28,5)</f>
        <v>2048526.2187600001</v>
      </c>
    </row>
    <row r="29" spans="1:35" ht="16.5" thickTop="1">
      <c r="A29" s="468"/>
      <c r="B29" s="468"/>
      <c r="C29" s="468"/>
      <c r="D29" s="468"/>
      <c r="E29" s="468"/>
      <c r="F29" s="505">
        <f t="shared" si="0"/>
        <v>23</v>
      </c>
      <c r="G29" s="506"/>
      <c r="H29" s="506"/>
      <c r="I29" s="506"/>
      <c r="J29" s="506"/>
      <c r="K29" s="506"/>
      <c r="L29" s="506"/>
      <c r="M29" s="506"/>
      <c r="N29" s="506"/>
      <c r="O29" s="468"/>
      <c r="P29" s="468"/>
      <c r="R29" s="518">
        <v>4</v>
      </c>
      <c r="S29" s="539">
        <f ca="1">AI24/Investment*100</f>
        <v>267.3927393558705</v>
      </c>
      <c r="T29" s="538">
        <f ca="1">EXP(y_inter4-(slope*LN(S29)))</f>
        <v>6.4971317819862433</v>
      </c>
      <c r="U29" s="537">
        <f ca="1">(+S29*T29/100)/100</f>
        <v>0.173728586514139</v>
      </c>
      <c r="V29" s="537">
        <f>regDebt_weighted</f>
        <v>3.5860000000000003E-2</v>
      </c>
      <c r="W29" s="537">
        <f ca="1">+U29-V29</f>
        <v>0.137868586514139</v>
      </c>
      <c r="X29" s="537">
        <f ca="1">+((W29*(1-0.34))-Pfd_weighted)/Equity_percent</f>
        <v>0.24652112528875503</v>
      </c>
      <c r="Y29" s="537">
        <f ca="1">+X29*equityP</f>
        <v>0.14791267517325302</v>
      </c>
      <c r="Z29" s="537">
        <f ca="1">+Y29/(1-taxrate)</f>
        <v>0.18723123439652281</v>
      </c>
      <c r="AA29" s="537">
        <f>debtP*Debt_Rate</f>
        <v>2.0000000000000004E-2</v>
      </c>
      <c r="AB29" s="537">
        <f ca="1">+AA29+Z29</f>
        <v>0.2072312343965228</v>
      </c>
      <c r="AC29" s="537">
        <f ca="1">+AB29/(S29/100)</f>
        <v>7.7500696127997953E-2</v>
      </c>
      <c r="AD29" s="537">
        <f ca="1">1-AC29</f>
        <v>0.92249930387200207</v>
      </c>
      <c r="AE29" s="534">
        <f ca="1">expenses/(AD29)</f>
        <v>2044361.1546640452</v>
      </c>
      <c r="AF29" s="536">
        <f ca="1">+AE29-Revenue</f>
        <v>114367.8715858846</v>
      </c>
      <c r="AG29" s="535">
        <f ca="1">+AF29/$J$49</f>
        <v>127154.42861432725</v>
      </c>
      <c r="AH29" s="535">
        <f ca="1">+AG29*$J$47</f>
        <v>2873.6900866837959</v>
      </c>
      <c r="AI29" s="534">
        <f ca="1">ROUND(+AH29+AE29,5)</f>
        <v>2047234.8447499999</v>
      </c>
    </row>
    <row r="30" spans="1:35" ht="15.75">
      <c r="A30" s="468"/>
      <c r="B30" s="468"/>
      <c r="C30" s="468"/>
      <c r="D30" s="468"/>
      <c r="E30" s="468"/>
      <c r="F30" s="505">
        <f t="shared" si="0"/>
        <v>24</v>
      </c>
      <c r="G30" s="506"/>
      <c r="H30" s="506"/>
      <c r="I30" s="506"/>
      <c r="J30" s="550" t="s">
        <v>1197</v>
      </c>
      <c r="K30" s="550" t="s">
        <v>1196</v>
      </c>
      <c r="L30" s="506"/>
      <c r="M30" s="506"/>
      <c r="N30" s="506"/>
      <c r="O30" s="468"/>
      <c r="P30" s="468"/>
      <c r="R30" s="450" t="s">
        <v>1195</v>
      </c>
      <c r="W30" s="456"/>
      <c r="X30" s="454"/>
      <c r="Y30" s="453"/>
      <c r="Z30" s="453"/>
      <c r="AA30" s="454"/>
      <c r="AC30" s="454"/>
      <c r="AD30" s="454"/>
      <c r="AE30" s="453"/>
      <c r="AF30" s="456"/>
      <c r="AH30" s="453"/>
    </row>
    <row r="31" spans="1:35" ht="15.75">
      <c r="A31" s="468"/>
      <c r="B31" s="468"/>
      <c r="C31" s="468"/>
      <c r="D31" s="468"/>
      <c r="E31" s="468"/>
      <c r="F31" s="505">
        <f t="shared" si="0"/>
        <v>25</v>
      </c>
      <c r="G31" s="506"/>
      <c r="H31" s="533" t="s">
        <v>1174</v>
      </c>
      <c r="I31" s="549"/>
      <c r="J31" s="548" t="s">
        <v>1194</v>
      </c>
      <c r="K31" s="548" t="s">
        <v>1194</v>
      </c>
      <c r="L31" s="506"/>
      <c r="M31" s="506"/>
      <c r="N31" s="506"/>
      <c r="O31" s="468"/>
      <c r="P31" s="468"/>
      <c r="R31" s="585">
        <v>1</v>
      </c>
      <c r="S31" s="584">
        <f ca="1">AI26/Investment*100</f>
        <v>268.21737181462828</v>
      </c>
      <c r="T31" s="583">
        <f ca="1">EXP(y_inter1-(slope*LN(+S31)))</f>
        <v>6.6835924751715945</v>
      </c>
      <c r="U31" s="582">
        <f ca="1">(+S31*T31/100)/100</f>
        <v>0.17926556079705513</v>
      </c>
      <c r="V31" s="582">
        <f>regDebt_weighted</f>
        <v>3.5860000000000003E-2</v>
      </c>
      <c r="W31" s="582">
        <f ca="1">+U31-V31</f>
        <v>0.14340556079705513</v>
      </c>
      <c r="X31" s="582">
        <f ca="1">+((W31*(1-0.34))-Pfd_weighted)/Equity_percent</f>
        <v>0.25714438990132671</v>
      </c>
      <c r="Y31" s="582">
        <f ca="1">+X31*equityP</f>
        <v>0.15428663394079603</v>
      </c>
      <c r="Z31" s="582">
        <f ca="1">+Y31/(1-taxrate)</f>
        <v>0.19529953663391902</v>
      </c>
      <c r="AA31" s="582">
        <f>debtP*Debt_Rate</f>
        <v>2.0000000000000004E-2</v>
      </c>
      <c r="AB31" s="582">
        <f ca="1">+AA31+Z31</f>
        <v>0.21529953663391904</v>
      </c>
      <c r="AC31" s="582">
        <f ca="1">+AB31/(S31/100)</f>
        <v>8.0270541455725666E-2</v>
      </c>
      <c r="AD31" s="582">
        <f ca="1">1-AC31</f>
        <v>0.91972945854427435</v>
      </c>
      <c r="AE31" s="579">
        <f ca="1">expenses/(AD31)</f>
        <v>2050517.9262448933</v>
      </c>
      <c r="AF31" s="581">
        <f ca="1">+AE31-Revenue</f>
        <v>120524.64316673274</v>
      </c>
      <c r="AG31" s="580">
        <f ca="1">+AF31/$J$49</f>
        <v>133999.5395848832</v>
      </c>
      <c r="AH31" s="580">
        <f ca="1">+AG31*$J$47</f>
        <v>3028.3895946183607</v>
      </c>
      <c r="AI31" s="579">
        <f ca="1">ROUND(+AH31+AE31,5)</f>
        <v>2053546.3158400001</v>
      </c>
    </row>
    <row r="32" spans="1:35" ht="15.75">
      <c r="A32" s="468"/>
      <c r="B32" s="468"/>
      <c r="C32" s="468"/>
      <c r="D32" s="468"/>
      <c r="E32" s="468"/>
      <c r="F32" s="505">
        <f t="shared" si="0"/>
        <v>26</v>
      </c>
      <c r="G32" s="506"/>
      <c r="H32" s="510"/>
      <c r="I32" s="510"/>
      <c r="J32" s="510"/>
      <c r="K32" s="510"/>
      <c r="L32" s="506"/>
      <c r="M32" s="506"/>
      <c r="N32" s="506"/>
      <c r="O32" s="468"/>
      <c r="P32" s="468"/>
      <c r="R32" s="544">
        <v>2</v>
      </c>
      <c r="S32" s="539">
        <f ca="1">AI27/Investment*100</f>
        <v>267.82548067741334</v>
      </c>
      <c r="T32" s="543">
        <f ca="1">EXP(y_inter2-(slope*LN(+S32)))</f>
        <v>6.5950889670009358</v>
      </c>
      <c r="U32" s="537">
        <f ca="1">(+S32*T32/100)/100</f>
        <v>0.17663328726973312</v>
      </c>
      <c r="V32" s="537">
        <f>regDebt_weighted</f>
        <v>3.5860000000000003E-2</v>
      </c>
      <c r="W32" s="537">
        <f ca="1">+U32-V32</f>
        <v>0.14077328726973312</v>
      </c>
      <c r="X32" s="537">
        <f ca="1">+((W32*(1-0.34))-Pfd_weighted)/Equity_percent</f>
        <v>0.25209409766867397</v>
      </c>
      <c r="Y32" s="537">
        <f ca="1">+X32*equityP</f>
        <v>0.15125645860120437</v>
      </c>
      <c r="Z32" s="537">
        <f ca="1">+Y32/(1-taxrate)</f>
        <v>0.19146387164709414</v>
      </c>
      <c r="AA32" s="537">
        <f>debtP*Debt_Rate</f>
        <v>2.0000000000000004E-2</v>
      </c>
      <c r="AB32" s="537">
        <f ca="1">+AA32+Z32</f>
        <v>0.21146387164709413</v>
      </c>
      <c r="AC32" s="537">
        <f ca="1">+AB32/(S32/100)</f>
        <v>7.8955845094438634E-2</v>
      </c>
      <c r="AD32" s="537">
        <f ca="1">1-AC32</f>
        <v>0.92104415490556135</v>
      </c>
      <c r="AE32" s="534">
        <f ca="1">expenses/(AD32)</f>
        <v>2047591.0215552214</v>
      </c>
      <c r="AF32" s="536">
        <f ca="1">+AE32-Revenue</f>
        <v>117597.7384770608</v>
      </c>
      <c r="AG32" s="535">
        <f ca="1">+AF32/$J$49</f>
        <v>130745.40109071399</v>
      </c>
      <c r="AH32" s="535">
        <f ca="1">+AG32*$J$47</f>
        <v>2954.8460646501362</v>
      </c>
      <c r="AI32" s="534">
        <f ca="1">ROUND(+AH32+AE32,5)</f>
        <v>2050545.8676199999</v>
      </c>
    </row>
    <row r="33" spans="1:46" ht="15.75">
      <c r="A33" s="468"/>
      <c r="B33" s="468"/>
      <c r="C33" s="468"/>
      <c r="D33" s="468"/>
      <c r="E33" s="468"/>
      <c r="F33" s="505">
        <f t="shared" si="0"/>
        <v>27</v>
      </c>
      <c r="G33" s="506"/>
      <c r="H33" s="510" t="s">
        <v>1171</v>
      </c>
      <c r="I33" s="510"/>
      <c r="J33" s="542">
        <f ca="1">+K9/J28</f>
        <v>0.20858942407238087</v>
      </c>
      <c r="K33" s="542">
        <f ca="1">+(M14+M11)/J28</f>
        <v>0.16898564501718089</v>
      </c>
      <c r="L33" s="506"/>
      <c r="M33" s="506"/>
      <c r="N33" s="506"/>
      <c r="O33" s="468"/>
      <c r="P33" s="468"/>
      <c r="R33" s="512">
        <v>3</v>
      </c>
      <c r="S33" s="539">
        <f ca="1">AI28/Investment*100</f>
        <v>267.56167890039461</v>
      </c>
      <c r="T33" s="540">
        <f ca="1">EXP(y_inter3-(slope*LN(S33)))</f>
        <v>6.5353702819092012</v>
      </c>
      <c r="U33" s="537">
        <f ca="1">(+S33*T33/100)/100</f>
        <v>0.1748614644863371</v>
      </c>
      <c r="V33" s="537">
        <f>regDebt_weighted</f>
        <v>3.5860000000000003E-2</v>
      </c>
      <c r="W33" s="537">
        <f ca="1">+U33-V33</f>
        <v>0.1390014644863371</v>
      </c>
      <c r="X33" s="537">
        <f ca="1">+((W33*(1-0.34))-Pfd_weighted)/Equity_percent</f>
        <v>0.24869467023541419</v>
      </c>
      <c r="Y33" s="537">
        <f ca="1">+X33*equityP</f>
        <v>0.14921680214124852</v>
      </c>
      <c r="Z33" s="537">
        <f ca="1">+Y33/(1-taxrate)</f>
        <v>0.18888202802689685</v>
      </c>
      <c r="AA33" s="537">
        <f>debtP*Debt_Rate</f>
        <v>2.0000000000000004E-2</v>
      </c>
      <c r="AB33" s="537">
        <f ca="1">+AA33+Z33</f>
        <v>0.20888202802689687</v>
      </c>
      <c r="AC33" s="537">
        <f ca="1">+AB33/(S33/100)</f>
        <v>7.8068738724224235E-2</v>
      </c>
      <c r="AD33" s="537">
        <f ca="1">1-AC33</f>
        <v>0.92193126127577574</v>
      </c>
      <c r="AE33" s="534">
        <f ca="1">expenses/(AD33)</f>
        <v>2045620.7759250845</v>
      </c>
      <c r="AF33" s="536">
        <f ca="1">+AE33-Revenue</f>
        <v>115627.49284692388</v>
      </c>
      <c r="AG33" s="535">
        <f ca="1">+AF33/$J$49</f>
        <v>128554.87805434005</v>
      </c>
      <c r="AH33" s="535">
        <f ca="1">+AG33*$J$47</f>
        <v>2905.3402440280852</v>
      </c>
      <c r="AI33" s="534">
        <f ca="1">ROUND(+AH33+AE33,5)</f>
        <v>2048526.1161700001</v>
      </c>
    </row>
    <row r="34" spans="1:46" ht="15.75">
      <c r="A34" s="468"/>
      <c r="B34" s="468"/>
      <c r="C34" s="468"/>
      <c r="D34" s="468"/>
      <c r="E34" s="468"/>
      <c r="F34" s="505">
        <f t="shared" si="0"/>
        <v>28</v>
      </c>
      <c r="G34" s="506"/>
      <c r="H34" s="510" t="s">
        <v>1170</v>
      </c>
      <c r="I34" s="510"/>
      <c r="J34" s="542">
        <f ca="1">+(M9-M11)/J26</f>
        <v>0.31431570678730147</v>
      </c>
      <c r="K34" s="542">
        <f ca="1">+M14/J26</f>
        <v>0.24830940836196819</v>
      </c>
      <c r="L34" s="506"/>
      <c r="M34" s="506"/>
      <c r="N34" s="506"/>
      <c r="O34" s="547"/>
      <c r="P34" s="468"/>
      <c r="R34" s="518">
        <v>4</v>
      </c>
      <c r="S34" s="539">
        <f ca="1">AI29/Investment*100</f>
        <v>267.39301022774606</v>
      </c>
      <c r="T34" s="538">
        <f ca="1">EXP(y_inter4-(slope*LN(S34)))</f>
        <v>6.4971272823010278</v>
      </c>
      <c r="U34" s="537">
        <f ca="1">(+S34*T34/100)/100</f>
        <v>0.17372864218472867</v>
      </c>
      <c r="V34" s="537">
        <f>regDebt_weighted</f>
        <v>3.5860000000000003E-2</v>
      </c>
      <c r="W34" s="537">
        <f ca="1">+U34-V34</f>
        <v>0.13786864218472866</v>
      </c>
      <c r="X34" s="537">
        <f ca="1">+((W34*(1-0.34))-Pfd_weighted)/Equity_percent</f>
        <v>0.2465212320986073</v>
      </c>
      <c r="Y34" s="537">
        <f ca="1">+X34*equityP</f>
        <v>0.14791273925916437</v>
      </c>
      <c r="Z34" s="537">
        <f ca="1">+Y34/(1-taxrate)</f>
        <v>0.18723131551792957</v>
      </c>
      <c r="AA34" s="537">
        <f>debtP*Debt_Rate</f>
        <v>2.0000000000000004E-2</v>
      </c>
      <c r="AB34" s="537">
        <f ca="1">+AA34+Z34</f>
        <v>0.20723131551792956</v>
      </c>
      <c r="AC34" s="537">
        <f ca="1">+AB34/(S34/100)</f>
        <v>7.7500647956887464E-2</v>
      </c>
      <c r="AD34" s="537">
        <f ca="1">1-AC34</f>
        <v>0.92249935204311251</v>
      </c>
      <c r="AE34" s="534">
        <f ca="1">expenses/(AD34)</f>
        <v>2044361.0479115073</v>
      </c>
      <c r="AF34" s="536">
        <f ca="1">+AE34-Revenue</f>
        <v>114367.76483334671</v>
      </c>
      <c r="AG34" s="535">
        <f ca="1">+AF34/$J$49</f>
        <v>127154.30992664189</v>
      </c>
      <c r="AH34" s="535">
        <f ca="1">+AG34*$J$47</f>
        <v>2873.6874043421067</v>
      </c>
      <c r="AI34" s="534">
        <f ca="1">ROUND(+AH34+AE34,5)</f>
        <v>2047234.73532</v>
      </c>
    </row>
    <row r="35" spans="1:46" ht="15.75">
      <c r="A35" s="468"/>
      <c r="B35" s="468"/>
      <c r="C35" s="468"/>
      <c r="D35" s="468"/>
      <c r="E35" s="468"/>
      <c r="F35" s="505">
        <f t="shared" si="0"/>
        <v>29</v>
      </c>
      <c r="G35" s="506"/>
      <c r="H35" s="546" t="s">
        <v>1169</v>
      </c>
      <c r="I35" s="510"/>
      <c r="J35" s="542">
        <f ca="1">+K8/K7</f>
        <v>0.92193000000000003</v>
      </c>
      <c r="K35" s="542">
        <f ca="1">+M8/M7</f>
        <v>0.92204072599134057</v>
      </c>
      <c r="L35" s="506"/>
      <c r="M35" s="506"/>
      <c r="N35" s="506"/>
      <c r="O35" s="468"/>
      <c r="P35" s="468"/>
      <c r="R35" s="450" t="s">
        <v>1193</v>
      </c>
      <c r="X35" s="454"/>
      <c r="Y35" s="455"/>
      <c r="Z35" s="453"/>
      <c r="AA35" s="454"/>
      <c r="AC35" s="454"/>
      <c r="AD35" s="454"/>
      <c r="AE35" s="453"/>
      <c r="AF35" s="456"/>
      <c r="AH35" s="453"/>
    </row>
    <row r="36" spans="1:46" ht="15.75">
      <c r="A36" s="468"/>
      <c r="B36" s="468"/>
      <c r="C36" s="468"/>
      <c r="D36" s="468"/>
      <c r="E36" s="468"/>
      <c r="F36" s="505">
        <f t="shared" si="0"/>
        <v>30</v>
      </c>
      <c r="G36" s="506"/>
      <c r="H36" s="510" t="s">
        <v>1168</v>
      </c>
      <c r="I36" s="510"/>
      <c r="J36" s="542">
        <f ca="1">+K9/K7</f>
        <v>7.8069999999999959E-2</v>
      </c>
      <c r="K36" s="542">
        <f ca="1">+J36</f>
        <v>7.8069999999999959E-2</v>
      </c>
      <c r="L36" s="506"/>
      <c r="M36" s="506"/>
      <c r="N36" s="506"/>
      <c r="O36" s="468"/>
      <c r="P36" s="468"/>
      <c r="R36" s="585">
        <v>1</v>
      </c>
      <c r="S36" s="584">
        <f ca="1">AI31/Investment*100</f>
        <v>268.21736277237392</v>
      </c>
      <c r="T36" s="583">
        <f ca="1">EXP(y_inter1-(slope*LN(+S36)))</f>
        <v>6.6835926292161361</v>
      </c>
      <c r="U36" s="582">
        <f ca="1">(+S36*T36/100)/100</f>
        <v>0.17926555888532289</v>
      </c>
      <c r="V36" s="582">
        <f>regDebt_weighted</f>
        <v>3.5860000000000003E-2</v>
      </c>
      <c r="W36" s="582">
        <f ca="1">+U36-V36</f>
        <v>0.14340555888532289</v>
      </c>
      <c r="X36" s="582">
        <f ca="1">+((W36*(1-0.34))-Pfd_weighted)/Equity_percent</f>
        <v>0.2571443862334683</v>
      </c>
      <c r="Y36" s="582">
        <f ca="1">+X36*equityP</f>
        <v>0.15428663174008098</v>
      </c>
      <c r="Z36" s="582">
        <f ca="1">+Y36/(1-taxrate)</f>
        <v>0.19529953384820375</v>
      </c>
      <c r="AA36" s="582">
        <f>debtP*Debt_Rate</f>
        <v>2.0000000000000004E-2</v>
      </c>
      <c r="AB36" s="582">
        <f ca="1">+AA36+Z36</f>
        <v>0.21529953384820377</v>
      </c>
      <c r="AC36" s="582">
        <f ca="1">+AB36/(S36/100)</f>
        <v>8.027054312323563E-2</v>
      </c>
      <c r="AD36" s="582">
        <f ca="1">1-AC36</f>
        <v>0.91972945687676433</v>
      </c>
      <c r="AE36" s="579">
        <f ca="1">expenses/(AD36)</f>
        <v>2050517.9299625726</v>
      </c>
      <c r="AF36" s="581">
        <f ca="1">+AE36-Revenue</f>
        <v>120524.64688441204</v>
      </c>
      <c r="AG36" s="580">
        <f ca="1">+AF36/$J$49</f>
        <v>133999.54371820649</v>
      </c>
      <c r="AH36" s="580">
        <f ca="1">+AG36*$J$47</f>
        <v>3028.3896880314669</v>
      </c>
      <c r="AI36" s="579">
        <f ca="1">ROUND(+AH36+AE36,5)</f>
        <v>2053546.31965</v>
      </c>
    </row>
    <row r="37" spans="1:46" ht="15.75">
      <c r="A37" s="468"/>
      <c r="B37" s="468"/>
      <c r="C37" s="468"/>
      <c r="D37" s="468"/>
      <c r="E37" s="468"/>
      <c r="F37" s="505">
        <f t="shared" si="0"/>
        <v>31</v>
      </c>
      <c r="G37" s="506"/>
      <c r="H37" s="510" t="s">
        <v>1167</v>
      </c>
      <c r="I37" s="509"/>
      <c r="J37" s="545">
        <f ca="1">+S39/100</f>
        <v>2.6739299593489774</v>
      </c>
      <c r="K37" s="545">
        <f ca="1">+J37</f>
        <v>2.6739299593489774</v>
      </c>
      <c r="L37" s="506"/>
      <c r="M37" s="506"/>
      <c r="N37" s="506"/>
      <c r="O37" s="468"/>
      <c r="P37" s="468"/>
      <c r="R37" s="544">
        <v>2</v>
      </c>
      <c r="S37" s="539">
        <f ca="1">AI32/Investment*100</f>
        <v>267.8254688557401</v>
      </c>
      <c r="T37" s="543">
        <f ca="1">EXP(y_inter2-(slope*LN(+S37)))</f>
        <v>6.5950891660198048</v>
      </c>
      <c r="U37" s="537">
        <f ca="1">(+S37*T37/100)/100</f>
        <v>0.1766332848034666</v>
      </c>
      <c r="V37" s="537">
        <f>regDebt_weighted</f>
        <v>3.5860000000000003E-2</v>
      </c>
      <c r="W37" s="537">
        <f ca="1">+U37-V37</f>
        <v>0.1407732848034666</v>
      </c>
      <c r="X37" s="537">
        <f ca="1">+((W37*(1-0.34))-Pfd_weighted)/Equity_percent</f>
        <v>0.25209409293688356</v>
      </c>
      <c r="Y37" s="537">
        <f ca="1">+X37*equityP</f>
        <v>0.15125645576213012</v>
      </c>
      <c r="Z37" s="537">
        <f ca="1">+Y37/(1-taxrate)</f>
        <v>0.19146386805332927</v>
      </c>
      <c r="AA37" s="537">
        <f>debtP*Debt_Rate</f>
        <v>2.0000000000000004E-2</v>
      </c>
      <c r="AB37" s="537">
        <f ca="1">+AA37+Z37</f>
        <v>0.21146386805332928</v>
      </c>
      <c r="AC37" s="537">
        <f ca="1">+AB37/(S37/100)</f>
        <v>7.895584723767661E-2</v>
      </c>
      <c r="AD37" s="537">
        <f ca="1">1-AC37</f>
        <v>0.92104415276232343</v>
      </c>
      <c r="AE37" s="534">
        <f ca="1">expenses/(AD37)</f>
        <v>2047591.0263198952</v>
      </c>
      <c r="AF37" s="536">
        <f ca="1">+AE37-Revenue</f>
        <v>117597.74324173457</v>
      </c>
      <c r="AG37" s="535">
        <f ca="1">+AF37/$J$49</f>
        <v>130745.40638808782</v>
      </c>
      <c r="AH37" s="535">
        <f ca="1">+AG37*$J$47</f>
        <v>2954.8461843707851</v>
      </c>
      <c r="AI37" s="534">
        <f ca="1">ROUND(+AH37+AE37,5)</f>
        <v>2050545.8725000001</v>
      </c>
    </row>
    <row r="38" spans="1:46" ht="15.75">
      <c r="A38" s="468"/>
      <c r="B38" s="468"/>
      <c r="C38" s="468"/>
      <c r="D38" s="468"/>
      <c r="E38" s="468"/>
      <c r="F38" s="505">
        <f t="shared" si="0"/>
        <v>32</v>
      </c>
      <c r="G38" s="506"/>
      <c r="H38" s="510" t="s">
        <v>178</v>
      </c>
      <c r="I38" s="506"/>
      <c r="J38" s="542">
        <f>+C10</f>
        <v>0.21</v>
      </c>
      <c r="K38" s="542">
        <f>+J38</f>
        <v>0.21</v>
      </c>
      <c r="L38" s="506"/>
      <c r="M38" s="506"/>
      <c r="N38" s="506"/>
      <c r="O38" s="468"/>
      <c r="P38" s="468"/>
      <c r="Q38" s="541"/>
      <c r="R38" s="512">
        <v>3</v>
      </c>
      <c r="S38" s="539">
        <f ca="1">AI33/Investment*100</f>
        <v>267.56166550093093</v>
      </c>
      <c r="T38" s="540">
        <f ca="1">EXP(y_inter3-(slope*LN(S38)))</f>
        <v>6.5353705056680633</v>
      </c>
      <c r="U38" s="537">
        <f ca="1">(+S38*T38/100)/100</f>
        <v>0.17486146171622083</v>
      </c>
      <c r="V38" s="537">
        <f>regDebt_weighted</f>
        <v>3.5860000000000003E-2</v>
      </c>
      <c r="W38" s="537">
        <f ca="1">+U38-V38</f>
        <v>0.13900146171622083</v>
      </c>
      <c r="X38" s="537">
        <f ca="1">+((W38*(1-0.34))-Pfd_weighted)/Equity_percent</f>
        <v>0.24869466492065623</v>
      </c>
      <c r="Y38" s="537">
        <f ca="1">+X38*equityP</f>
        <v>0.14921679895239373</v>
      </c>
      <c r="Z38" s="537">
        <f ca="1">+Y38/(1-taxrate)</f>
        <v>0.18888202399037179</v>
      </c>
      <c r="AA38" s="537">
        <f>debtP*Debt_Rate</f>
        <v>2.0000000000000004E-2</v>
      </c>
      <c r="AB38" s="537">
        <f ca="1">+AA38+Z38</f>
        <v>0.20888202399037181</v>
      </c>
      <c r="AC38" s="537">
        <f ca="1">+AB38/(S38/100)</f>
        <v>7.8068741125265961E-2</v>
      </c>
      <c r="AD38" s="537">
        <f ca="1">1-AC38</f>
        <v>0.92193125887473404</v>
      </c>
      <c r="AE38" s="534">
        <f ca="1">expenses/(AD38)</f>
        <v>2045620.7812526191</v>
      </c>
      <c r="AF38" s="536">
        <f ca="1">+AE38-Revenue</f>
        <v>115627.49817445851</v>
      </c>
      <c r="AG38" s="535">
        <f ca="1">+AF38/$J$49</f>
        <v>128554.88397750372</v>
      </c>
      <c r="AH38" s="535">
        <f ca="1">+AG38*$J$47</f>
        <v>2905.3403778915845</v>
      </c>
      <c r="AI38" s="534">
        <f ca="1">ROUND(+AH38+AE38,5)</f>
        <v>2048526.12163</v>
      </c>
    </row>
    <row r="39" spans="1:46" ht="15.75">
      <c r="A39" s="468"/>
      <c r="B39" s="468"/>
      <c r="C39" s="468"/>
      <c r="D39" s="468"/>
      <c r="E39" s="468"/>
      <c r="F39" s="505">
        <f t="shared" si="0"/>
        <v>33</v>
      </c>
      <c r="G39" s="506"/>
      <c r="H39" s="506"/>
      <c r="I39" s="506"/>
      <c r="J39" s="506"/>
      <c r="K39" s="506"/>
      <c r="L39" s="506"/>
      <c r="M39" s="506"/>
      <c r="N39" s="506"/>
      <c r="O39" s="468"/>
      <c r="P39" s="468"/>
      <c r="R39" s="518">
        <v>4</v>
      </c>
      <c r="S39" s="539">
        <f ca="1">AI34/Investment*100</f>
        <v>267.39299593489773</v>
      </c>
      <c r="T39" s="538">
        <f ca="1">EXP(y_inter4-(slope*LN(S39)))</f>
        <v>6.4971275197316087</v>
      </c>
      <c r="U39" s="537">
        <f ca="1">(+S39*T39/100)/100</f>
        <v>0.17372863924721063</v>
      </c>
      <c r="V39" s="537">
        <f>regDebt_weighted</f>
        <v>3.5860000000000003E-2</v>
      </c>
      <c r="W39" s="537">
        <f ca="1">+U39-V39</f>
        <v>0.13786863924721063</v>
      </c>
      <c r="X39" s="537">
        <f ca="1">+((W39*(1-0.34))-Pfd_weighted)/Equity_percent</f>
        <v>0.24652122646267155</v>
      </c>
      <c r="Y39" s="537">
        <f ca="1">+X39*equityP</f>
        <v>0.14791273587760292</v>
      </c>
      <c r="Z39" s="537">
        <f ca="1">+Y39/(1-taxrate)</f>
        <v>0.18723131123747205</v>
      </c>
      <c r="AA39" s="537">
        <f>debtP*Debt_Rate</f>
        <v>2.0000000000000004E-2</v>
      </c>
      <c r="AB39" s="537">
        <f ca="1">+AA39+Z39</f>
        <v>0.20723131123747207</v>
      </c>
      <c r="AC39" s="537">
        <f ca="1">+AB39/(S39/100)</f>
        <v>7.7500650498686485E-2</v>
      </c>
      <c r="AD39" s="537">
        <f ca="1">1-AC39</f>
        <v>0.92249934950131351</v>
      </c>
      <c r="AE39" s="534">
        <f ca="1">expenses/(AD39)</f>
        <v>2044361.0535444163</v>
      </c>
      <c r="AF39" s="536">
        <f ca="1">+AE39-Revenue</f>
        <v>114367.77046625572</v>
      </c>
      <c r="AG39" s="535">
        <f ca="1">+AF39/$J$49</f>
        <v>127154.31618932141</v>
      </c>
      <c r="AH39" s="535">
        <f ca="1">+AG39*$J$47</f>
        <v>2873.687545878664</v>
      </c>
      <c r="AI39" s="534">
        <f ca="1">ROUND(+AH39+AE39,5)</f>
        <v>2047234.7410899999</v>
      </c>
    </row>
    <row r="40" spans="1:46" ht="15.75">
      <c r="A40" s="468"/>
      <c r="B40" s="468"/>
      <c r="C40" s="468"/>
      <c r="D40" s="468"/>
      <c r="E40" s="468"/>
      <c r="F40" s="505">
        <f t="shared" si="0"/>
        <v>34</v>
      </c>
      <c r="G40" s="509"/>
      <c r="H40" s="506"/>
      <c r="I40" s="506"/>
      <c r="J40" s="506"/>
      <c r="K40" s="506"/>
      <c r="L40" s="506"/>
      <c r="M40" s="506"/>
      <c r="N40" s="506"/>
      <c r="O40" s="468"/>
      <c r="P40" s="468"/>
      <c r="X40" s="454"/>
      <c r="Y40" s="455"/>
      <c r="Z40" s="453"/>
      <c r="AA40" s="454"/>
      <c r="AC40" s="454"/>
      <c r="AD40" s="454"/>
      <c r="AE40" s="453"/>
      <c r="AF40" s="456"/>
      <c r="AH40" s="453"/>
    </row>
    <row r="41" spans="1:46" ht="15.75">
      <c r="A41" s="468"/>
      <c r="B41" s="468"/>
      <c r="C41" s="468"/>
      <c r="D41" s="468"/>
      <c r="E41" s="468"/>
      <c r="F41" s="505">
        <f t="shared" si="0"/>
        <v>35</v>
      </c>
      <c r="G41" s="506"/>
      <c r="H41" s="533" t="s">
        <v>1192</v>
      </c>
      <c r="I41" s="532"/>
      <c r="J41" s="506"/>
      <c r="K41" s="506"/>
      <c r="L41" s="506"/>
      <c r="M41" s="506"/>
      <c r="N41" s="506"/>
      <c r="O41" s="468"/>
      <c r="P41" s="468"/>
      <c r="R41" s="748" t="s">
        <v>1191</v>
      </c>
      <c r="S41" s="747"/>
      <c r="T41" s="736"/>
      <c r="U41" s="736"/>
      <c r="V41" s="735"/>
      <c r="X41" s="531"/>
      <c r="Y41" s="455"/>
      <c r="Z41" s="453"/>
      <c r="AA41" s="454"/>
      <c r="AC41" s="454"/>
      <c r="AD41" s="454"/>
      <c r="AE41" s="453"/>
      <c r="AF41" s="456"/>
      <c r="AH41" s="453"/>
    </row>
    <row r="42" spans="1:46" ht="15.75">
      <c r="A42" s="468"/>
      <c r="B42" s="468"/>
      <c r="C42" s="468"/>
      <c r="D42" s="468"/>
      <c r="E42" s="468"/>
      <c r="F42" s="505">
        <f t="shared" si="0"/>
        <v>36</v>
      </c>
      <c r="G42" s="506"/>
      <c r="H42" s="506"/>
      <c r="I42" s="506"/>
      <c r="J42" s="530" t="s">
        <v>449</v>
      </c>
      <c r="K42" s="529" t="s">
        <v>1190</v>
      </c>
      <c r="L42" s="506"/>
      <c r="M42" s="506"/>
      <c r="N42" s="506"/>
      <c r="O42" s="468"/>
      <c r="P42" s="468"/>
      <c r="R42" s="528" t="s">
        <v>1189</v>
      </c>
      <c r="S42" s="527"/>
      <c r="T42" s="463"/>
      <c r="U42" s="463"/>
      <c r="V42" s="497"/>
      <c r="X42" s="454"/>
      <c r="Y42" s="455"/>
      <c r="Z42" s="453"/>
      <c r="AA42" s="454"/>
      <c r="AC42" s="454"/>
      <c r="AD42" s="454"/>
      <c r="AE42" s="453"/>
      <c r="AH42" s="453"/>
    </row>
    <row r="43" spans="1:46" ht="15.75">
      <c r="A43" s="468"/>
      <c r="B43" s="468"/>
      <c r="C43" s="468"/>
      <c r="D43" s="468"/>
      <c r="E43" s="468"/>
      <c r="F43" s="505">
        <f t="shared" si="0"/>
        <v>37</v>
      </c>
      <c r="G43" s="506"/>
      <c r="H43" s="510" t="s">
        <v>174</v>
      </c>
      <c r="I43" s="521"/>
      <c r="J43" s="520">
        <f>IF($A$65=TRUE,C11,0)</f>
        <v>1.7500000000000002E-2</v>
      </c>
      <c r="K43" s="519">
        <f ca="1">+J43*($J$7/$J$49)</f>
        <v>2249.7648165589731</v>
      </c>
      <c r="L43" s="506"/>
      <c r="M43" s="506"/>
      <c r="N43" s="506"/>
      <c r="O43" s="468"/>
      <c r="P43" s="468"/>
      <c r="R43" s="512">
        <v>0</v>
      </c>
      <c r="S43" s="525">
        <v>1</v>
      </c>
      <c r="T43" s="463"/>
      <c r="U43" s="526" t="s">
        <v>1168</v>
      </c>
      <c r="V43" s="464">
        <f ca="1">VLOOKUP(R49,R36:AE39,12)</f>
        <v>7.8068741125265961E-2</v>
      </c>
      <c r="AA43" s="454"/>
      <c r="AC43" s="454"/>
      <c r="AH43" s="453"/>
      <c r="AL43" s="454"/>
      <c r="AM43" s="454"/>
      <c r="AN43" s="454"/>
      <c r="AO43" s="454"/>
      <c r="AP43" s="454"/>
      <c r="AQ43" s="454"/>
      <c r="AR43" s="454"/>
      <c r="AS43" s="454"/>
      <c r="AT43" s="454"/>
    </row>
    <row r="44" spans="1:46" ht="15.75">
      <c r="A44" s="468"/>
      <c r="B44" s="468"/>
      <c r="C44" s="468"/>
      <c r="D44" s="468"/>
      <c r="E44" s="468"/>
      <c r="F44" s="505">
        <f t="shared" si="0"/>
        <v>38</v>
      </c>
      <c r="G44" s="506"/>
      <c r="H44" s="510" t="s">
        <v>176</v>
      </c>
      <c r="I44" s="521"/>
      <c r="J44" s="520">
        <f>IF($A$65=TRUE,C12,0)</f>
        <v>5.1000000000000004E-3</v>
      </c>
      <c r="K44" s="519">
        <f ca="1">+J44*($J$7/$J$49)</f>
        <v>655.64574654004366</v>
      </c>
      <c r="L44" s="506"/>
      <c r="M44" s="506"/>
      <c r="N44" s="506"/>
      <c r="O44" s="468"/>
      <c r="P44" s="468"/>
      <c r="R44" s="512">
        <v>50</v>
      </c>
      <c r="S44" s="525">
        <v>2</v>
      </c>
      <c r="T44" s="463"/>
      <c r="U44" s="526" t="s">
        <v>1169</v>
      </c>
      <c r="V44" s="464">
        <f ca="1">ROUND(1-V43,5)</f>
        <v>0.92193000000000003</v>
      </c>
      <c r="Y44" s="522"/>
      <c r="Z44" s="450"/>
      <c r="AA44" s="450"/>
      <c r="AC44" s="454"/>
      <c r="AF44" s="456"/>
      <c r="AH44" s="453"/>
      <c r="AL44" s="454"/>
      <c r="AM44" s="454"/>
      <c r="AN44" s="454"/>
      <c r="AO44" s="454"/>
      <c r="AP44" s="454"/>
      <c r="AQ44" s="454"/>
      <c r="AR44" s="454"/>
      <c r="AS44" s="454"/>
      <c r="AT44" s="454"/>
    </row>
    <row r="45" spans="1:46" ht="15.75">
      <c r="A45" s="468"/>
      <c r="B45" s="468"/>
      <c r="C45" s="468"/>
      <c r="D45" s="468"/>
      <c r="E45" s="468"/>
      <c r="F45" s="505">
        <f t="shared" si="0"/>
        <v>39</v>
      </c>
      <c r="G45" s="506"/>
      <c r="H45" s="510" t="s">
        <v>177</v>
      </c>
      <c r="I45" s="521"/>
      <c r="J45" s="520">
        <f>IF($A$65=TRUE,C13,0)</f>
        <v>0</v>
      </c>
      <c r="K45" s="519">
        <f ca="1">+J45*($J$7/$J$49)</f>
        <v>0</v>
      </c>
      <c r="L45" s="506"/>
      <c r="M45" s="506"/>
      <c r="N45" s="506"/>
      <c r="O45" s="468"/>
      <c r="P45" s="468"/>
      <c r="R45" s="512">
        <v>125</v>
      </c>
      <c r="S45" s="525">
        <v>3</v>
      </c>
      <c r="T45" s="463"/>
      <c r="U45" s="498" t="s">
        <v>1188</v>
      </c>
      <c r="V45" s="524">
        <f ca="1">+M7/Revenue-1</f>
        <v>6.1417675919468895E-2</v>
      </c>
      <c r="W45" s="523"/>
      <c r="X45" s="454"/>
      <c r="Y45" s="522"/>
      <c r="Z45" s="453"/>
      <c r="AA45" s="454"/>
      <c r="AC45" s="454"/>
      <c r="AD45" s="454"/>
      <c r="AE45" s="453"/>
      <c r="AF45" s="456"/>
      <c r="AH45" s="453"/>
      <c r="AL45" s="454"/>
      <c r="AM45" s="454"/>
      <c r="AN45" s="454"/>
      <c r="AO45" s="454"/>
      <c r="AP45" s="454"/>
      <c r="AQ45" s="454"/>
      <c r="AR45" s="454"/>
      <c r="AS45" s="454"/>
      <c r="AT45" s="454"/>
    </row>
    <row r="46" spans="1:46" ht="15.75">
      <c r="A46" s="468"/>
      <c r="B46" s="468"/>
      <c r="C46" s="468"/>
      <c r="D46" s="468"/>
      <c r="E46" s="468"/>
      <c r="F46" s="505">
        <f t="shared" si="0"/>
        <v>40</v>
      </c>
      <c r="G46" s="506"/>
      <c r="H46" s="510" t="s">
        <v>179</v>
      </c>
      <c r="I46" s="521"/>
      <c r="J46" s="520">
        <f>IF($A$65=TRUE,C14,0)</f>
        <v>0</v>
      </c>
      <c r="K46" s="519">
        <f ca="1">+J46*($J$7/$J$49)</f>
        <v>0</v>
      </c>
      <c r="L46" s="506"/>
      <c r="M46" s="506"/>
      <c r="N46" s="506"/>
      <c r="O46" s="468"/>
      <c r="P46" s="468"/>
      <c r="R46" s="518">
        <v>401</v>
      </c>
      <c r="S46" s="517">
        <v>4</v>
      </c>
      <c r="T46" s="516"/>
      <c r="U46" s="516"/>
      <c r="V46" s="515"/>
      <c r="X46" s="454"/>
      <c r="Y46" s="455"/>
      <c r="Z46" s="453"/>
      <c r="AA46" s="454"/>
      <c r="AC46" s="454"/>
      <c r="AD46" s="454"/>
      <c r="AE46" s="453"/>
      <c r="AF46" s="456"/>
      <c r="AH46" s="453"/>
      <c r="AL46" s="454"/>
      <c r="AM46" s="454"/>
      <c r="AN46" s="454"/>
      <c r="AO46" s="454"/>
      <c r="AP46" s="454"/>
      <c r="AQ46" s="454"/>
      <c r="AR46" s="454"/>
      <c r="AS46" s="454"/>
      <c r="AT46" s="454"/>
    </row>
    <row r="47" spans="1:46" ht="16.5" thickBot="1">
      <c r="A47" s="468"/>
      <c r="B47" s="468"/>
      <c r="C47" s="468"/>
      <c r="D47" s="468"/>
      <c r="E47" s="468"/>
      <c r="F47" s="505">
        <f t="shared" si="0"/>
        <v>41</v>
      </c>
      <c r="G47" s="506"/>
      <c r="H47" s="510" t="s">
        <v>181</v>
      </c>
      <c r="I47" s="509"/>
      <c r="J47" s="514">
        <f>SUM(J43:J46)</f>
        <v>2.2600000000000002E-2</v>
      </c>
      <c r="K47" s="513">
        <f ca="1">+K43+K44+K45+K46</f>
        <v>2905.4105630990166</v>
      </c>
      <c r="L47" s="506"/>
      <c r="M47" s="506"/>
      <c r="N47" s="506"/>
      <c r="O47" s="468"/>
      <c r="P47" s="468"/>
      <c r="R47" s="512"/>
      <c r="S47" s="511"/>
      <c r="T47" s="463"/>
      <c r="U47" s="463"/>
      <c r="V47" s="463"/>
      <c r="X47" s="454"/>
      <c r="Y47" s="455"/>
      <c r="Z47" s="453"/>
      <c r="AA47" s="454"/>
      <c r="AC47" s="454"/>
      <c r="AD47" s="454"/>
      <c r="AE47" s="453"/>
      <c r="AF47" s="456"/>
      <c r="AH47" s="453"/>
      <c r="AL47" s="454"/>
      <c r="AM47" s="454"/>
      <c r="AN47" s="454"/>
      <c r="AO47" s="454"/>
      <c r="AP47" s="454"/>
      <c r="AQ47" s="454"/>
      <c r="AR47" s="454"/>
      <c r="AS47" s="454"/>
      <c r="AT47" s="454"/>
    </row>
    <row r="48" spans="1:46" ht="16.5" thickTop="1">
      <c r="A48" s="468"/>
      <c r="B48" s="468"/>
      <c r="C48" s="468"/>
      <c r="D48" s="468"/>
      <c r="E48" s="468"/>
      <c r="F48" s="505">
        <f t="shared" si="0"/>
        <v>42</v>
      </c>
      <c r="G48" s="506"/>
      <c r="H48" s="510"/>
      <c r="I48" s="509"/>
      <c r="J48" s="508"/>
      <c r="K48" s="507"/>
      <c r="L48" s="506"/>
      <c r="M48" s="506"/>
      <c r="N48" s="506"/>
      <c r="O48" s="468"/>
      <c r="P48" s="468"/>
      <c r="R48" s="746">
        <f ca="1">VLOOKUP(R49,R36:S39,2)</f>
        <v>267.56166550093093</v>
      </c>
      <c r="S48" s="745" t="s">
        <v>1187</v>
      </c>
      <c r="T48" s="735"/>
      <c r="V48" s="736"/>
      <c r="X48" s="449" t="s">
        <v>146</v>
      </c>
      <c r="AC48" s="454"/>
      <c r="AF48" s="456"/>
      <c r="AH48" s="453"/>
    </row>
    <row r="49" spans="1:46" ht="15.75">
      <c r="A49" s="468"/>
      <c r="B49" s="468"/>
      <c r="C49" s="468"/>
      <c r="D49" s="468"/>
      <c r="E49" s="468"/>
      <c r="F49" s="505">
        <f t="shared" si="0"/>
        <v>43</v>
      </c>
      <c r="G49" s="504"/>
      <c r="H49" s="503" t="s">
        <v>182</v>
      </c>
      <c r="I49" s="501"/>
      <c r="J49" s="502">
        <f ca="1">((K35)-J47)</f>
        <v>0.89944072599134062</v>
      </c>
      <c r="K49" s="501"/>
      <c r="L49" s="501"/>
      <c r="M49" s="501"/>
      <c r="N49" s="501"/>
      <c r="O49" s="468"/>
      <c r="P49" s="468"/>
      <c r="R49" s="499">
        <f ca="1">VLOOKUP(S36,R43:S46,2)</f>
        <v>3</v>
      </c>
      <c r="S49" s="500" t="s">
        <v>1186</v>
      </c>
      <c r="T49" s="497"/>
      <c r="X49" s="449" t="s">
        <v>149</v>
      </c>
      <c r="AA49" s="450"/>
      <c r="AC49" s="454"/>
      <c r="AH49" s="453"/>
    </row>
    <row r="50" spans="1:46">
      <c r="A50" s="468"/>
      <c r="B50" s="468"/>
      <c r="C50" s="468"/>
      <c r="D50" s="468"/>
      <c r="E50" s="468"/>
      <c r="F50" s="468"/>
      <c r="G50" s="468"/>
      <c r="H50" s="468"/>
      <c r="I50" s="468"/>
      <c r="J50" s="468"/>
      <c r="K50" s="496"/>
      <c r="L50" s="468"/>
      <c r="M50" s="468"/>
      <c r="N50" s="495"/>
      <c r="O50" s="468"/>
      <c r="P50" s="468"/>
      <c r="R50" s="499"/>
      <c r="S50" s="498"/>
      <c r="T50" s="497"/>
      <c r="X50" s="449" t="s">
        <v>155</v>
      </c>
      <c r="AA50" s="454"/>
      <c r="AC50" s="454"/>
      <c r="AD50" s="454"/>
      <c r="AE50" s="453"/>
      <c r="AH50" s="453"/>
    </row>
    <row r="51" spans="1:46">
      <c r="A51" s="468"/>
      <c r="B51" s="468"/>
      <c r="C51" s="468"/>
      <c r="D51" s="468"/>
      <c r="E51" s="468"/>
      <c r="F51" s="468"/>
      <c r="G51" s="468"/>
      <c r="H51" s="468"/>
      <c r="I51" s="468"/>
      <c r="J51" s="468"/>
      <c r="K51" s="496"/>
      <c r="L51" s="468"/>
      <c r="M51" s="468"/>
      <c r="N51" s="495"/>
      <c r="O51" s="468"/>
      <c r="P51" s="468"/>
      <c r="R51" s="494">
        <f ca="1">+V44</f>
        <v>0.92193000000000003</v>
      </c>
      <c r="S51" s="493" t="s">
        <v>1169</v>
      </c>
      <c r="T51" s="492"/>
      <c r="X51" s="449" t="s">
        <v>158</v>
      </c>
      <c r="AA51" s="454"/>
      <c r="AC51" s="454"/>
      <c r="AD51" s="454"/>
      <c r="AE51" s="453"/>
      <c r="AF51" s="454"/>
      <c r="AH51" s="453"/>
      <c r="AL51" s="454"/>
      <c r="AM51" s="454"/>
      <c r="AN51" s="454"/>
      <c r="AO51" s="454"/>
      <c r="AP51" s="454"/>
      <c r="AQ51" s="454"/>
      <c r="AR51" s="454"/>
      <c r="AS51" s="454"/>
      <c r="AT51" s="454"/>
    </row>
    <row r="52" spans="1:46">
      <c r="A52" s="468"/>
      <c r="B52" s="468"/>
      <c r="C52" s="468"/>
      <c r="D52" s="468"/>
      <c r="E52" s="468"/>
      <c r="F52" s="468"/>
      <c r="G52" s="468"/>
      <c r="H52" s="468"/>
      <c r="I52" s="468"/>
      <c r="J52" s="468"/>
      <c r="K52" s="468"/>
      <c r="L52" s="468"/>
      <c r="M52" s="468"/>
      <c r="N52" s="468"/>
      <c r="O52" s="468"/>
      <c r="P52" s="468"/>
      <c r="Z52" s="453"/>
      <c r="AA52" s="454"/>
      <c r="AC52" s="454"/>
      <c r="AD52" s="454"/>
      <c r="AE52" s="453"/>
      <c r="AF52" s="456"/>
      <c r="AH52" s="453"/>
      <c r="AL52" s="454"/>
      <c r="AM52" s="454"/>
      <c r="AN52" s="454"/>
      <c r="AO52" s="454"/>
      <c r="AP52" s="454"/>
      <c r="AQ52" s="454"/>
      <c r="AR52" s="454"/>
      <c r="AS52" s="454"/>
      <c r="AT52" s="454"/>
    </row>
    <row r="53" spans="1:46">
      <c r="A53" s="468"/>
      <c r="B53" s="468"/>
      <c r="C53" s="468"/>
      <c r="D53" s="468"/>
      <c r="E53" s="468"/>
      <c r="F53" s="468"/>
      <c r="G53" s="468"/>
      <c r="H53" s="468"/>
      <c r="I53" s="468"/>
      <c r="J53" s="471"/>
      <c r="K53" s="471"/>
      <c r="L53" s="471"/>
      <c r="M53" s="471"/>
      <c r="N53" s="468"/>
      <c r="O53" s="468"/>
      <c r="P53" s="468"/>
      <c r="R53" s="449"/>
      <c r="Z53" s="453"/>
      <c r="AA53" s="454"/>
      <c r="AC53" s="454"/>
      <c r="AD53" s="454"/>
      <c r="AE53" s="453"/>
      <c r="AF53" s="456"/>
      <c r="AH53" s="453"/>
      <c r="AL53" s="454"/>
      <c r="AM53" s="454"/>
      <c r="AN53" s="454"/>
      <c r="AO53" s="454"/>
      <c r="AP53" s="454"/>
      <c r="AQ53" s="454"/>
      <c r="AR53" s="454"/>
      <c r="AS53" s="454"/>
      <c r="AT53" s="454"/>
    </row>
    <row r="54" spans="1:46" ht="15.75">
      <c r="A54" s="468"/>
      <c r="B54" s="468"/>
      <c r="C54" s="468"/>
      <c r="D54" s="468"/>
      <c r="E54" s="468"/>
      <c r="F54" s="468"/>
      <c r="G54" s="468"/>
      <c r="H54" s="468"/>
      <c r="I54" s="468"/>
      <c r="J54" s="468"/>
      <c r="K54" s="471"/>
      <c r="L54" s="471"/>
      <c r="M54" s="471"/>
      <c r="N54" s="468"/>
      <c r="O54" s="468"/>
      <c r="P54" s="468"/>
      <c r="R54" s="449"/>
      <c r="S54" s="449" t="s">
        <v>1185</v>
      </c>
      <c r="T54" s="454"/>
      <c r="U54" s="491"/>
      <c r="W54" s="490" t="s">
        <v>1184</v>
      </c>
      <c r="X54" s="489"/>
      <c r="Y54" s="489"/>
      <c r="Z54" s="489"/>
      <c r="AC54" s="454"/>
      <c r="AF54" s="456"/>
      <c r="AH54" s="453"/>
      <c r="AL54" s="454"/>
      <c r="AM54" s="454"/>
      <c r="AN54" s="454"/>
      <c r="AO54" s="454"/>
      <c r="AP54" s="454"/>
      <c r="AQ54" s="454"/>
      <c r="AR54" s="454"/>
      <c r="AS54" s="454"/>
      <c r="AT54" s="454"/>
    </row>
    <row r="55" spans="1:46">
      <c r="A55" s="468"/>
      <c r="B55" s="468"/>
      <c r="C55" s="468"/>
      <c r="D55" s="468"/>
      <c r="E55" s="468"/>
      <c r="F55" s="468"/>
      <c r="G55" s="468"/>
      <c r="H55" s="468"/>
      <c r="I55" s="468"/>
      <c r="J55" s="468"/>
      <c r="K55" s="468"/>
      <c r="L55" s="480"/>
      <c r="M55" s="480"/>
      <c r="N55" s="468"/>
      <c r="O55" s="468"/>
      <c r="P55" s="468"/>
      <c r="R55" s="738"/>
      <c r="S55" s="744" t="s">
        <v>451</v>
      </c>
      <c r="T55" s="744" t="s">
        <v>573</v>
      </c>
      <c r="U55" s="743" t="s">
        <v>1183</v>
      </c>
      <c r="W55" s="742" t="s">
        <v>1182</v>
      </c>
      <c r="X55" s="741">
        <v>5.7225999999999999</v>
      </c>
      <c r="Y55" s="740" t="s">
        <v>1181</v>
      </c>
      <c r="Z55" s="739">
        <v>5.6985000000000001</v>
      </c>
      <c r="AA55" s="450"/>
      <c r="AC55" s="454"/>
      <c r="AH55" s="453"/>
    </row>
    <row r="56" spans="1:46">
      <c r="A56" s="468"/>
      <c r="B56" s="468"/>
      <c r="C56" s="468"/>
      <c r="D56" s="468"/>
      <c r="E56" s="468"/>
      <c r="F56" s="468"/>
      <c r="G56" s="468"/>
      <c r="H56" s="468"/>
      <c r="I56" s="468"/>
      <c r="J56" s="480"/>
      <c r="K56" s="468"/>
      <c r="L56" s="480"/>
      <c r="M56" s="480"/>
      <c r="N56" s="468"/>
      <c r="O56" s="468"/>
      <c r="P56" s="468"/>
      <c r="R56" s="451" t="s">
        <v>1180</v>
      </c>
      <c r="S56" s="484">
        <v>0.56200000000000006</v>
      </c>
      <c r="T56" s="484">
        <v>6.3799999999999996E-2</v>
      </c>
      <c r="U56" s="464">
        <f>ROUND(+S56*T56,5)</f>
        <v>3.5860000000000003E-2</v>
      </c>
      <c r="W56" s="488" t="s">
        <v>1179</v>
      </c>
      <c r="X56" s="487">
        <v>5.7082699999999997</v>
      </c>
      <c r="Y56" s="486" t="s">
        <v>1178</v>
      </c>
      <c r="Z56" s="485">
        <v>5.6921999999999997</v>
      </c>
      <c r="AA56" s="454"/>
      <c r="AC56" s="454"/>
      <c r="AD56" s="454"/>
      <c r="AE56" s="453"/>
      <c r="AH56" s="453"/>
    </row>
    <row r="57" spans="1:46">
      <c r="A57" s="468"/>
      <c r="B57" s="468"/>
      <c r="C57" s="468"/>
      <c r="D57" s="468"/>
      <c r="E57" s="471"/>
      <c r="F57" s="468"/>
      <c r="G57" s="468"/>
      <c r="H57" s="468"/>
      <c r="I57" s="468"/>
      <c r="J57" s="480"/>
      <c r="K57" s="468"/>
      <c r="L57" s="480"/>
      <c r="M57" s="480"/>
      <c r="N57" s="468"/>
      <c r="O57" s="468"/>
      <c r="P57" s="468"/>
      <c r="R57" s="451" t="s">
        <v>1177</v>
      </c>
      <c r="S57" s="484">
        <v>9.4E-2</v>
      </c>
      <c r="T57" s="484">
        <v>6.59E-2</v>
      </c>
      <c r="U57" s="464">
        <f>ROUND(+S57*T57,5)</f>
        <v>6.1900000000000002E-3</v>
      </c>
      <c r="W57" s="451"/>
      <c r="X57" s="463"/>
      <c r="Y57" s="483"/>
      <c r="Z57" s="482"/>
      <c r="AA57" s="454"/>
      <c r="AC57" s="454"/>
      <c r="AD57" s="454"/>
      <c r="AE57" s="453"/>
      <c r="AF57" s="456"/>
      <c r="AH57" s="453"/>
      <c r="AL57" s="454"/>
    </row>
    <row r="58" spans="1:46" ht="15.75">
      <c r="A58" s="468"/>
      <c r="B58" s="468"/>
      <c r="C58" s="468"/>
      <c r="D58" s="468"/>
      <c r="E58" s="471"/>
      <c r="F58" s="471"/>
      <c r="G58" s="471"/>
      <c r="H58" s="481"/>
      <c r="I58" s="471"/>
      <c r="J58" s="480"/>
      <c r="K58" s="468"/>
      <c r="L58" s="468"/>
      <c r="M58" s="468"/>
      <c r="N58" s="468"/>
      <c r="O58" s="468"/>
      <c r="P58" s="468"/>
      <c r="R58" s="451" t="s">
        <v>1176</v>
      </c>
      <c r="S58" s="475">
        <v>0.34399999999999997</v>
      </c>
      <c r="T58" s="462"/>
      <c r="U58" s="479"/>
      <c r="W58" s="460"/>
      <c r="X58" s="478" t="s">
        <v>1175</v>
      </c>
      <c r="Y58" s="477">
        <v>0.68367</v>
      </c>
      <c r="Z58" s="476"/>
      <c r="AA58" s="454"/>
      <c r="AC58" s="454"/>
      <c r="AD58" s="454"/>
      <c r="AE58" s="453"/>
      <c r="AF58" s="456"/>
      <c r="AH58" s="453"/>
    </row>
    <row r="59" spans="1:46" ht="15.75">
      <c r="A59" s="468"/>
      <c r="B59" s="468"/>
      <c r="C59" s="468"/>
      <c r="D59" s="468"/>
      <c r="E59" s="468"/>
      <c r="F59" s="468"/>
      <c r="G59" s="468"/>
      <c r="H59" s="468"/>
      <c r="I59" s="468"/>
      <c r="J59" s="468"/>
      <c r="K59" s="468"/>
      <c r="L59" s="468"/>
      <c r="M59" s="468"/>
      <c r="N59" s="468"/>
      <c r="O59" s="468"/>
      <c r="P59" s="468"/>
      <c r="R59" s="460"/>
      <c r="S59" s="475">
        <f>SUM(S56:S58)</f>
        <v>1</v>
      </c>
      <c r="T59" s="474"/>
      <c r="U59" s="473"/>
      <c r="X59" s="454"/>
      <c r="Y59" s="455"/>
      <c r="Z59" s="453"/>
      <c r="AA59" s="454"/>
      <c r="AC59" s="454"/>
      <c r="AD59" s="454"/>
      <c r="AE59" s="453"/>
      <c r="AF59" s="456"/>
      <c r="AH59" s="453"/>
    </row>
    <row r="60" spans="1:46">
      <c r="A60" s="468"/>
      <c r="B60" s="468"/>
      <c r="C60" s="468"/>
      <c r="D60" s="468"/>
      <c r="E60" s="468"/>
      <c r="F60" s="468"/>
      <c r="G60" s="468"/>
      <c r="H60" s="468"/>
      <c r="I60" s="468"/>
      <c r="J60" s="468"/>
      <c r="K60" s="468"/>
      <c r="L60" s="468"/>
      <c r="M60" s="468"/>
      <c r="N60" s="468"/>
      <c r="O60" s="468"/>
      <c r="P60" s="468"/>
      <c r="X60" s="472"/>
      <c r="AC60" s="454"/>
      <c r="AF60" s="456"/>
      <c r="AH60" s="453"/>
      <c r="AL60" s="456"/>
      <c r="AM60" s="456"/>
      <c r="AN60" s="456"/>
      <c r="AO60" s="456"/>
      <c r="AP60" s="456"/>
      <c r="AQ60" s="456"/>
      <c r="AR60" s="456"/>
      <c r="AS60" s="456"/>
      <c r="AT60" s="456"/>
    </row>
    <row r="61" spans="1:46">
      <c r="A61" s="468"/>
      <c r="B61" s="468"/>
      <c r="C61" s="468"/>
      <c r="D61" s="468"/>
      <c r="E61" s="471"/>
      <c r="F61" s="468"/>
      <c r="G61" s="468"/>
      <c r="H61" s="468"/>
      <c r="I61" s="468"/>
      <c r="J61" s="468"/>
      <c r="K61" s="468"/>
      <c r="L61" s="468"/>
      <c r="M61" s="468"/>
      <c r="N61" s="468"/>
      <c r="O61" s="468"/>
      <c r="P61" s="468"/>
      <c r="W61" s="738" t="s">
        <v>1174</v>
      </c>
      <c r="X61" s="737"/>
      <c r="Y61" s="736" t="s">
        <v>1173</v>
      </c>
      <c r="Z61" s="735" t="s">
        <v>1172</v>
      </c>
      <c r="AC61" s="454"/>
      <c r="AH61" s="453"/>
      <c r="AL61" s="456"/>
      <c r="AM61" s="456"/>
      <c r="AN61" s="456"/>
      <c r="AO61" s="456"/>
      <c r="AP61" s="456"/>
      <c r="AQ61" s="456"/>
      <c r="AR61" s="456"/>
      <c r="AS61" s="456"/>
      <c r="AT61" s="456"/>
    </row>
    <row r="62" spans="1:46">
      <c r="A62" s="468"/>
      <c r="B62" s="468"/>
      <c r="C62" s="468"/>
      <c r="D62" s="468"/>
      <c r="E62" s="468"/>
      <c r="F62" s="471"/>
      <c r="G62" s="471"/>
      <c r="H62" s="471"/>
      <c r="I62" s="471"/>
      <c r="J62" s="471"/>
      <c r="K62" s="471"/>
      <c r="L62" s="471"/>
      <c r="M62" s="471"/>
      <c r="N62" s="471"/>
      <c r="O62" s="468"/>
      <c r="P62" s="468"/>
      <c r="W62" s="470"/>
      <c r="X62" s="467"/>
      <c r="Y62" s="467"/>
      <c r="Z62" s="469"/>
      <c r="AC62" s="454"/>
      <c r="AD62" s="454"/>
      <c r="AE62" s="453"/>
      <c r="AH62" s="453"/>
      <c r="AL62" s="456"/>
      <c r="AM62" s="456"/>
      <c r="AN62" s="456"/>
      <c r="AO62" s="456"/>
      <c r="AP62" s="456"/>
      <c r="AQ62" s="456"/>
      <c r="AR62" s="456"/>
      <c r="AS62" s="456"/>
      <c r="AT62" s="456"/>
    </row>
    <row r="63" spans="1:46">
      <c r="A63" s="468"/>
      <c r="B63" s="468"/>
      <c r="C63" s="468"/>
      <c r="D63" s="468"/>
      <c r="E63" s="468"/>
      <c r="F63" s="468"/>
      <c r="G63" s="468"/>
      <c r="H63" s="468"/>
      <c r="I63" s="468"/>
      <c r="J63" s="468"/>
      <c r="K63" s="468"/>
      <c r="L63" s="468"/>
      <c r="M63" s="468"/>
      <c r="N63" s="468"/>
      <c r="O63" s="468"/>
      <c r="P63" s="468"/>
      <c r="W63" s="451" t="s">
        <v>1171</v>
      </c>
      <c r="X63" s="467"/>
      <c r="Y63" s="464">
        <f t="shared" ref="Y63:Z68" ca="1" si="1">+J33</f>
        <v>0.20858942407238087</v>
      </c>
      <c r="Z63" s="464">
        <f t="shared" ca="1" si="1"/>
        <v>0.16898564501718089</v>
      </c>
      <c r="AC63" s="454"/>
      <c r="AD63" s="454"/>
      <c r="AE63" s="453"/>
      <c r="AF63" s="456"/>
      <c r="AH63" s="453"/>
      <c r="AL63" s="456"/>
      <c r="AM63" s="456"/>
      <c r="AN63" s="456"/>
      <c r="AO63" s="456"/>
      <c r="AP63" s="456"/>
      <c r="AQ63" s="456"/>
      <c r="AR63" s="456"/>
      <c r="AS63" s="456"/>
      <c r="AT63" s="456"/>
    </row>
    <row r="64" spans="1:46">
      <c r="A64" s="468"/>
      <c r="B64" s="468"/>
      <c r="C64" s="468"/>
      <c r="D64" s="468"/>
      <c r="E64" s="468"/>
      <c r="F64" s="468"/>
      <c r="G64" s="468"/>
      <c r="H64" s="468"/>
      <c r="I64" s="468"/>
      <c r="J64" s="468"/>
      <c r="K64" s="468"/>
      <c r="L64" s="468"/>
      <c r="M64" s="468"/>
      <c r="N64" s="468"/>
      <c r="O64" s="468"/>
      <c r="P64" s="468"/>
      <c r="W64" s="451" t="s">
        <v>1170</v>
      </c>
      <c r="X64" s="467"/>
      <c r="Y64" s="464">
        <f t="shared" ca="1" si="1"/>
        <v>0.31431570678730147</v>
      </c>
      <c r="Z64" s="464">
        <f t="shared" ca="1" si="1"/>
        <v>0.24830940836196819</v>
      </c>
      <c r="AC64" s="454"/>
      <c r="AD64" s="454"/>
      <c r="AE64" s="453"/>
      <c r="AF64" s="456"/>
      <c r="AH64" s="453"/>
    </row>
    <row r="65" spans="1:38">
      <c r="A65" s="449" t="b">
        <v>1</v>
      </c>
      <c r="F65" s="468"/>
      <c r="G65" s="468"/>
      <c r="H65" s="468"/>
      <c r="I65" s="468"/>
      <c r="J65" s="468"/>
      <c r="K65" s="468"/>
      <c r="L65" s="468"/>
      <c r="M65" s="468"/>
      <c r="N65" s="468"/>
      <c r="W65" s="451" t="s">
        <v>1169</v>
      </c>
      <c r="X65" s="467"/>
      <c r="Y65" s="464">
        <f t="shared" ca="1" si="1"/>
        <v>0.92193000000000003</v>
      </c>
      <c r="Z65" s="464">
        <f t="shared" ca="1" si="1"/>
        <v>0.92204072599134057</v>
      </c>
      <c r="AC65" s="454"/>
      <c r="AD65" s="454"/>
      <c r="AE65" s="453"/>
      <c r="AF65" s="456"/>
      <c r="AH65" s="453"/>
    </row>
    <row r="66" spans="1:38">
      <c r="H66" s="456"/>
      <c r="I66" s="456"/>
      <c r="J66" s="456"/>
      <c r="K66" s="456"/>
      <c r="L66" s="456"/>
      <c r="M66" s="456"/>
      <c r="N66" s="456"/>
      <c r="O66" s="456"/>
      <c r="W66" s="451" t="s">
        <v>1168</v>
      </c>
      <c r="X66" s="467"/>
      <c r="Y66" s="464">
        <f t="shared" ca="1" si="1"/>
        <v>7.8069999999999959E-2</v>
      </c>
      <c r="Z66" s="464">
        <f t="shared" ca="1" si="1"/>
        <v>7.8069999999999959E-2</v>
      </c>
      <c r="AC66" s="454"/>
      <c r="AF66" s="456"/>
      <c r="AH66" s="453"/>
      <c r="AL66" s="456"/>
    </row>
    <row r="67" spans="1:38">
      <c r="H67" s="456"/>
      <c r="I67" s="456"/>
      <c r="J67" s="456"/>
      <c r="K67" s="456"/>
      <c r="L67" s="456"/>
      <c r="M67" s="456"/>
      <c r="N67" s="456"/>
      <c r="O67" s="456"/>
      <c r="W67" s="451" t="s">
        <v>1167</v>
      </c>
      <c r="X67" s="466"/>
      <c r="Y67" s="464">
        <f t="shared" ca="1" si="1"/>
        <v>2.6739299593489774</v>
      </c>
      <c r="Z67" s="464">
        <f t="shared" ca="1" si="1"/>
        <v>2.6739299593489774</v>
      </c>
      <c r="AC67" s="454"/>
      <c r="AH67" s="453"/>
    </row>
    <row r="68" spans="1:38">
      <c r="O68" s="456"/>
      <c r="W68" s="451" t="s">
        <v>178</v>
      </c>
      <c r="X68" s="465"/>
      <c r="Y68" s="464">
        <f t="shared" si="1"/>
        <v>0.21</v>
      </c>
      <c r="Z68" s="464">
        <f t="shared" si="1"/>
        <v>0.21</v>
      </c>
      <c r="AC68" s="454"/>
      <c r="AD68" s="454"/>
      <c r="AE68" s="453"/>
      <c r="AH68" s="453"/>
    </row>
    <row r="69" spans="1:38" ht="15.75">
      <c r="O69" s="456"/>
      <c r="W69" s="451"/>
      <c r="X69" s="463"/>
      <c r="Y69" s="462"/>
      <c r="Z69" s="461"/>
      <c r="AC69" s="454"/>
      <c r="AD69" s="454"/>
      <c r="AE69" s="453"/>
      <c r="AF69" s="456"/>
      <c r="AH69" s="453"/>
    </row>
    <row r="70" spans="1:38">
      <c r="O70" s="456"/>
      <c r="W70" s="460"/>
      <c r="X70" s="459"/>
      <c r="Y70" s="458"/>
      <c r="Z70" s="457"/>
      <c r="AA70" s="454"/>
      <c r="AC70" s="454"/>
      <c r="AD70" s="454"/>
      <c r="AE70" s="453"/>
      <c r="AF70" s="456"/>
      <c r="AH70" s="453"/>
    </row>
    <row r="71" spans="1:38">
      <c r="X71" s="454"/>
      <c r="Y71" s="455"/>
      <c r="Z71" s="453"/>
      <c r="AA71" s="454"/>
      <c r="AC71" s="454"/>
      <c r="AD71" s="454"/>
      <c r="AE71" s="453"/>
      <c r="AF71" s="456"/>
      <c r="AH71" s="453"/>
    </row>
    <row r="72" spans="1:38">
      <c r="AC72" s="454"/>
      <c r="AF72" s="456"/>
      <c r="AH72" s="453"/>
    </row>
    <row r="73" spans="1:38">
      <c r="Y73" s="450"/>
      <c r="Z73" s="450"/>
      <c r="AA73" s="450"/>
      <c r="AC73" s="454"/>
      <c r="AH73" s="453"/>
    </row>
    <row r="74" spans="1:38">
      <c r="X74" s="454"/>
      <c r="Y74" s="455"/>
      <c r="Z74" s="453"/>
      <c r="AA74" s="454"/>
      <c r="AC74" s="454"/>
      <c r="AD74" s="454"/>
      <c r="AE74" s="453"/>
      <c r="AH74" s="453"/>
    </row>
    <row r="75" spans="1:38">
      <c r="X75" s="454"/>
      <c r="Y75" s="455"/>
      <c r="Z75" s="453"/>
      <c r="AA75" s="454"/>
      <c r="AC75" s="454"/>
      <c r="AD75" s="454"/>
      <c r="AE75" s="453"/>
      <c r="AF75" s="456"/>
      <c r="AH75" s="453"/>
    </row>
    <row r="76" spans="1:38">
      <c r="X76" s="454"/>
      <c r="Y76" s="455"/>
      <c r="Z76" s="453"/>
      <c r="AA76" s="454"/>
      <c r="AC76" s="454"/>
      <c r="AD76" s="454"/>
      <c r="AE76" s="453"/>
      <c r="AF76" s="456"/>
      <c r="AH76" s="453"/>
    </row>
    <row r="77" spans="1:38">
      <c r="X77" s="454"/>
      <c r="Y77" s="455"/>
      <c r="Z77" s="453"/>
      <c r="AA77" s="454"/>
      <c r="AC77" s="454"/>
      <c r="AD77" s="454"/>
      <c r="AE77" s="453"/>
      <c r="AF77" s="456"/>
      <c r="AH77" s="453"/>
    </row>
    <row r="78" spans="1:38">
      <c r="AC78" s="454"/>
      <c r="AF78" s="456"/>
      <c r="AH78" s="453"/>
    </row>
    <row r="80" spans="1:38">
      <c r="X80" s="454"/>
      <c r="Y80" s="455"/>
      <c r="Z80" s="453"/>
      <c r="AA80" s="454"/>
      <c r="AD80" s="454"/>
      <c r="AE80" s="453"/>
    </row>
    <row r="81" spans="24:32">
      <c r="X81" s="454"/>
      <c r="Y81" s="455"/>
      <c r="Z81" s="453"/>
      <c r="AA81" s="454"/>
      <c r="AD81" s="454"/>
      <c r="AE81" s="453"/>
      <c r="AF81" s="456"/>
    </row>
    <row r="82" spans="24:32">
      <c r="X82" s="454"/>
      <c r="Y82" s="455"/>
      <c r="Z82" s="453"/>
      <c r="AA82" s="454"/>
      <c r="AD82" s="454"/>
      <c r="AE82" s="453"/>
      <c r="AF82" s="456"/>
    </row>
    <row r="83" spans="24:32">
      <c r="X83" s="454"/>
      <c r="Y83" s="455"/>
      <c r="Z83" s="453"/>
      <c r="AA83" s="454"/>
      <c r="AD83" s="454"/>
      <c r="AE83" s="453"/>
      <c r="AF83" s="456"/>
    </row>
    <row r="84" spans="24:32">
      <c r="AF84" s="456"/>
    </row>
    <row r="86" spans="24:32">
      <c r="X86" s="454"/>
      <c r="Y86" s="455"/>
      <c r="Z86" s="453"/>
      <c r="AA86" s="454"/>
      <c r="AD86" s="454"/>
      <c r="AE86" s="453"/>
    </row>
    <row r="87" spans="24:32">
      <c r="X87" s="454"/>
      <c r="Y87" s="455"/>
      <c r="Z87" s="453"/>
      <c r="AA87" s="454"/>
      <c r="AD87" s="454"/>
      <c r="AE87" s="453"/>
      <c r="AF87" s="456"/>
    </row>
    <row r="88" spans="24:32">
      <c r="X88" s="454"/>
      <c r="Y88" s="455"/>
      <c r="Z88" s="453"/>
      <c r="AA88" s="454"/>
      <c r="AD88" s="454"/>
      <c r="AE88" s="453"/>
      <c r="AF88" s="456"/>
    </row>
    <row r="89" spans="24:32">
      <c r="X89" s="454"/>
      <c r="Y89" s="455"/>
      <c r="Z89" s="453"/>
      <c r="AA89" s="454"/>
      <c r="AD89" s="454"/>
      <c r="AE89" s="453"/>
      <c r="AF89" s="456"/>
    </row>
    <row r="90" spans="24:32">
      <c r="AF90" s="456"/>
    </row>
    <row r="92" spans="24:32">
      <c r="X92" s="454"/>
      <c r="Y92" s="455"/>
      <c r="Z92" s="453"/>
      <c r="AA92" s="454"/>
      <c r="AD92" s="454"/>
      <c r="AE92" s="453"/>
    </row>
    <row r="93" spans="24:32">
      <c r="X93" s="454"/>
      <c r="Y93" s="455"/>
      <c r="Z93" s="453"/>
      <c r="AA93" s="454"/>
      <c r="AD93" s="454"/>
      <c r="AE93" s="453"/>
      <c r="AF93" s="456"/>
    </row>
    <row r="94" spans="24:32">
      <c r="X94" s="454"/>
      <c r="Y94" s="455"/>
      <c r="Z94" s="453"/>
      <c r="AA94" s="454"/>
      <c r="AD94" s="454"/>
      <c r="AE94" s="453"/>
      <c r="AF94" s="456"/>
    </row>
    <row r="95" spans="24:32">
      <c r="X95" s="454"/>
      <c r="Y95" s="455"/>
      <c r="Z95" s="453"/>
      <c r="AA95" s="454"/>
      <c r="AD95" s="454"/>
      <c r="AE95" s="453"/>
      <c r="AF95" s="456"/>
    </row>
    <row r="96" spans="24:32">
      <c r="AF96" s="456"/>
    </row>
    <row r="98" spans="24:32">
      <c r="X98" s="454"/>
      <c r="Y98" s="455"/>
      <c r="Z98" s="453"/>
      <c r="AA98" s="454"/>
      <c r="AD98" s="454"/>
      <c r="AE98" s="453"/>
    </row>
    <row r="99" spans="24:32">
      <c r="X99" s="454"/>
      <c r="Y99" s="455"/>
      <c r="Z99" s="453"/>
      <c r="AA99" s="454"/>
      <c r="AD99" s="454"/>
      <c r="AE99" s="453"/>
      <c r="AF99" s="456"/>
    </row>
    <row r="100" spans="24:32">
      <c r="X100" s="454"/>
      <c r="Y100" s="455"/>
      <c r="Z100" s="453"/>
      <c r="AA100" s="454"/>
      <c r="AD100" s="454"/>
      <c r="AE100" s="453"/>
      <c r="AF100" s="456"/>
    </row>
    <row r="101" spans="24:32">
      <c r="X101" s="454"/>
      <c r="Y101" s="455"/>
      <c r="Z101" s="453"/>
      <c r="AA101" s="454"/>
      <c r="AD101" s="454"/>
      <c r="AE101" s="453"/>
      <c r="AF101" s="456"/>
    </row>
    <row r="102" spans="24:32">
      <c r="AF102" s="456"/>
    </row>
    <row r="104" spans="24:32">
      <c r="X104" s="454"/>
      <c r="Y104" s="455"/>
      <c r="Z104" s="453"/>
      <c r="AA104" s="454"/>
      <c r="AD104" s="454"/>
      <c r="AE104" s="453"/>
    </row>
    <row r="105" spans="24:32">
      <c r="X105" s="454"/>
      <c r="Y105" s="455"/>
      <c r="Z105" s="453"/>
      <c r="AA105" s="454"/>
      <c r="AD105" s="454"/>
      <c r="AE105" s="453"/>
      <c r="AF105" s="456"/>
    </row>
    <row r="106" spans="24:32">
      <c r="X106" s="454"/>
      <c r="Y106" s="455"/>
      <c r="Z106" s="453"/>
      <c r="AA106" s="454"/>
      <c r="AD106" s="454"/>
      <c r="AE106" s="453"/>
      <c r="AF106" s="456"/>
    </row>
    <row r="107" spans="24:32">
      <c r="X107" s="454"/>
      <c r="Y107" s="455"/>
      <c r="Z107" s="453"/>
      <c r="AA107" s="454"/>
      <c r="AD107" s="454"/>
      <c r="AE107" s="453"/>
      <c r="AF107" s="456"/>
    </row>
    <row r="108" spans="24:32">
      <c r="AF108" s="456"/>
    </row>
    <row r="110" spans="24:32">
      <c r="X110" s="454"/>
      <c r="Y110" s="455"/>
      <c r="Z110" s="453"/>
      <c r="AA110" s="454"/>
      <c r="AD110" s="454"/>
      <c r="AE110" s="453"/>
    </row>
    <row r="111" spans="24:32">
      <c r="X111" s="454"/>
      <c r="Y111" s="455"/>
      <c r="Z111" s="453"/>
      <c r="AA111" s="454"/>
      <c r="AD111" s="454"/>
      <c r="AE111" s="453"/>
    </row>
    <row r="112" spans="24:32">
      <c r="X112" s="454"/>
      <c r="Y112" s="455"/>
      <c r="Z112" s="453"/>
      <c r="AA112" s="454"/>
      <c r="AD112" s="454"/>
      <c r="AE112" s="453"/>
    </row>
    <row r="113" spans="24:31">
      <c r="X113" s="454"/>
      <c r="Y113" s="455"/>
      <c r="Z113" s="453"/>
      <c r="AA113" s="454"/>
      <c r="AD113" s="454"/>
      <c r="AE113" s="453"/>
    </row>
  </sheetData>
  <mergeCells count="6">
    <mergeCell ref="B18:C18"/>
    <mergeCell ref="B2:C2"/>
    <mergeCell ref="AF2:AI2"/>
    <mergeCell ref="B15:C15"/>
    <mergeCell ref="C16:D16"/>
    <mergeCell ref="B17:C17"/>
  </mergeCells>
  <pageMargins left="0.25" right="0.25" top="0.3" bottom="0.44" header="0.23" footer="0.21"/>
  <pageSetup scale="9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59073" r:id="rId4" name="CheckBox1">
          <controlPr defaultSize="0" autoFill="0" autoLine="0" linkedCell="A65" r:id="rId5">
            <anchor moveWithCells="1">
              <from>
                <xdr:col>2</xdr:col>
                <xdr:colOff>95250</xdr:colOff>
                <xdr:row>14</xdr:row>
                <xdr:rowOff>171450</xdr:rowOff>
              </from>
              <to>
                <xdr:col>2</xdr:col>
                <xdr:colOff>361950</xdr:colOff>
                <xdr:row>16</xdr:row>
                <xdr:rowOff>19050</xdr:rowOff>
              </to>
            </anchor>
          </controlPr>
        </control>
      </mc:Choice>
      <mc:Fallback>
        <control shapeId="259073" r:id="rId4" name="CheckBox1"/>
      </mc:Fallback>
    </mc:AlternateContent>
  </control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96"/>
  <sheetViews>
    <sheetView workbookViewId="0">
      <selection activeCell="E4" sqref="E4"/>
    </sheetView>
  </sheetViews>
  <sheetFormatPr defaultRowHeight="12.75"/>
  <cols>
    <col min="1" max="1" width="10.140625" bestFit="1" customWidth="1"/>
  </cols>
  <sheetData>
    <row r="1" spans="1:35">
      <c r="A1" t="s">
        <v>0</v>
      </c>
    </row>
    <row r="3" spans="1:35">
      <c r="A3" t="s">
        <v>469</v>
      </c>
      <c r="D3" s="643" t="s">
        <v>1342</v>
      </c>
      <c r="E3" s="643" t="s">
        <v>689</v>
      </c>
    </row>
    <row r="5" spans="1:35">
      <c r="A5" s="672">
        <v>44834</v>
      </c>
    </row>
    <row r="7" spans="1:35">
      <c r="B7" s="16" t="s">
        <v>126</v>
      </c>
      <c r="AD7" s="2" t="s">
        <v>127</v>
      </c>
      <c r="AE7" s="2" t="s">
        <v>128</v>
      </c>
      <c r="AH7" s="16" t="s">
        <v>129</v>
      </c>
    </row>
    <row r="8" spans="1:35">
      <c r="E8" s="28"/>
      <c r="M8" s="16" t="s">
        <v>130</v>
      </c>
      <c r="T8" s="2" t="s">
        <v>131</v>
      </c>
      <c r="U8" s="2" t="s">
        <v>132</v>
      </c>
      <c r="V8" s="2" t="s">
        <v>133</v>
      </c>
      <c r="W8" s="2" t="s">
        <v>134</v>
      </c>
      <c r="X8" s="2" t="s">
        <v>135</v>
      </c>
      <c r="Z8" s="2" t="s">
        <v>136</v>
      </c>
      <c r="AA8" s="16" t="s">
        <v>137</v>
      </c>
      <c r="AB8" s="2" t="s">
        <v>138</v>
      </c>
      <c r="AC8" s="2" t="s">
        <v>139</v>
      </c>
      <c r="AD8" s="2" t="s">
        <v>140</v>
      </c>
      <c r="AH8" s="16" t="s">
        <v>141</v>
      </c>
    </row>
    <row r="9" spans="1:35">
      <c r="B9" s="16" t="s">
        <v>142</v>
      </c>
      <c r="C9" s="16" t="s">
        <v>143</v>
      </c>
      <c r="E9" s="28">
        <f>E11+E10</f>
        <v>195068.38318411729</v>
      </c>
      <c r="F9" s="16" t="s">
        <v>144</v>
      </c>
      <c r="K9" s="29"/>
      <c r="M9" s="16" t="s">
        <v>145</v>
      </c>
      <c r="P9" s="16" t="s">
        <v>146</v>
      </c>
      <c r="T9" s="30">
        <f>$E$12*1.25</f>
        <v>220195.72518883838</v>
      </c>
      <c r="U9" s="31">
        <f>100*(+T9/$E$13)</f>
        <v>322.57673380958971</v>
      </c>
      <c r="V9" s="32">
        <f>EXP(5.7226-(0.68367*LN(+U9)))</f>
        <v>5.8913720703487957</v>
      </c>
      <c r="W9" s="32">
        <f>(+V9*U9)/100</f>
        <v>19.00419560110155</v>
      </c>
      <c r="X9" s="31">
        <f>100*((((W9/100)-((W9/100)-0.03574)*$E$25)-0.03574-0.00619)/0.344)</f>
        <v>33.636205014157632</v>
      </c>
      <c r="Y9">
        <v>0</v>
      </c>
      <c r="Z9" s="31">
        <f>X9+Y9</f>
        <v>33.636205014157632</v>
      </c>
      <c r="AA9" s="31">
        <f>100*($E$21*$E$23+($E$22*(Z9/100))/(1-$E$25))</f>
        <v>27.646484820879213</v>
      </c>
      <c r="AB9" s="32">
        <f>AA9/U9</f>
        <v>8.5705142135881235E-2</v>
      </c>
      <c r="AC9" s="30">
        <f>$E$12/(1-AB9)</f>
        <v>192669.33269491367</v>
      </c>
      <c r="AD9" t="str">
        <f>IF(AC9=$T$9,"yes","not yet")</f>
        <v>not yet</v>
      </c>
      <c r="AE9" s="31">
        <f>100*(1-AB9)</f>
        <v>91.429485786411874</v>
      </c>
      <c r="AH9">
        <v>0</v>
      </c>
      <c r="AI9">
        <v>1</v>
      </c>
    </row>
    <row r="10" spans="1:35">
      <c r="B10" s="16" t="s">
        <v>142</v>
      </c>
      <c r="C10" s="16" t="s">
        <v>147</v>
      </c>
      <c r="E10" s="28">
        <f>(+E12-((H19/100)*E11))/H29</f>
        <v>37838.739053173915</v>
      </c>
      <c r="F10" s="33" t="s">
        <v>144</v>
      </c>
      <c r="K10" s="29"/>
      <c r="M10" s="16" t="s">
        <v>148</v>
      </c>
      <c r="P10" s="16" t="s">
        <v>149</v>
      </c>
      <c r="T10" s="30">
        <f>$E$12*1.25</f>
        <v>220195.72518883838</v>
      </c>
      <c r="U10" s="31">
        <f>100*(+T10/$E$13)</f>
        <v>322.57673380958971</v>
      </c>
      <c r="V10" s="32">
        <f>EXP(5.70827-(0.68367*LN(+U10)))</f>
        <v>5.8075507229152734</v>
      </c>
      <c r="W10" s="32">
        <f>(+V10*U10)/100</f>
        <v>18.733807436315306</v>
      </c>
      <c r="X10" s="31">
        <f>100*((((W10/100)-((W10/100)-0.03574)*$E$25)-0.03574-0.00619)/0.344)</f>
        <v>33.015255449677596</v>
      </c>
      <c r="Y10">
        <v>0</v>
      </c>
      <c r="Z10" s="31">
        <f>X10+Y10</f>
        <v>33.015255449677596</v>
      </c>
      <c r="AA10" s="31">
        <f>100*($E$21*$E$23+($E$22*(Z10/100))/(1-$E$25))</f>
        <v>27.17487755671716</v>
      </c>
      <c r="AB10" s="32">
        <f>AA10/U10</f>
        <v>8.424314188994772E-2</v>
      </c>
      <c r="AC10" s="30">
        <f>$E$12/(1-AB10)</f>
        <v>192361.73727884967</v>
      </c>
      <c r="AD10" t="str">
        <f>IF(AC10=$T$10,"yes","not yet")</f>
        <v>not yet</v>
      </c>
      <c r="AE10" s="31">
        <f>100*(1-AB10)</f>
        <v>91.575685811005229</v>
      </c>
      <c r="AH10">
        <v>50</v>
      </c>
      <c r="AI10">
        <v>2</v>
      </c>
    </row>
    <row r="11" spans="1:35">
      <c r="B11" s="34" t="s">
        <v>150</v>
      </c>
      <c r="C11" s="16" t="s">
        <v>151</v>
      </c>
      <c r="D11" s="34" t="s">
        <v>152</v>
      </c>
      <c r="E11" s="28">
        <f>+'Results of Operations Regulated'!G21</f>
        <v>157229.64413094337</v>
      </c>
      <c r="F11" s="16" t="s">
        <v>153</v>
      </c>
      <c r="K11" s="29"/>
      <c r="M11" s="16" t="s">
        <v>154</v>
      </c>
      <c r="P11" s="16" t="s">
        <v>155</v>
      </c>
      <c r="T11" s="30">
        <f>$E$12*1.25</f>
        <v>220195.72518883838</v>
      </c>
      <c r="U11" s="31">
        <f>100*(+T11/$E$13)</f>
        <v>322.57673380958971</v>
      </c>
      <c r="V11" s="32">
        <f>EXP(5.6985-(0.68367*LN(U11)))</f>
        <v>5.7510872256694379</v>
      </c>
      <c r="W11" s="32">
        <f>(+V11*U11)/100</f>
        <v>18.551669331105021</v>
      </c>
      <c r="X11" s="31">
        <f>100*((((W11/100)-((W11/100)-0.03574)*$E$25)-0.03574-0.00619)/0.344)</f>
        <v>32.596973173177233</v>
      </c>
      <c r="Y11">
        <v>0</v>
      </c>
      <c r="Z11" s="31">
        <f>X11+Y11</f>
        <v>32.596973173177233</v>
      </c>
      <c r="AA11" s="31">
        <f>100*($E$21*$E$23+($E$22*(Z11/100))/(1-$E$25))</f>
        <v>26.857194815071317</v>
      </c>
      <c r="AB11" s="32">
        <f>AA11/U11</f>
        <v>8.3258313449613375E-2</v>
      </c>
      <c r="AC11" s="30">
        <f>$E$12/(1-AB11)</f>
        <v>192155.0887621697</v>
      </c>
      <c r="AD11" t="str">
        <f>IF(AC11=$T$11,"yes","not yet")</f>
        <v>not yet</v>
      </c>
      <c r="AE11" s="31">
        <f>100*(1-AB11)</f>
        <v>91.674168655038656</v>
      </c>
      <c r="AH11">
        <v>125</v>
      </c>
      <c r="AI11">
        <v>3</v>
      </c>
    </row>
    <row r="12" spans="1:35">
      <c r="B12" s="34" t="s">
        <v>150</v>
      </c>
      <c r="C12" s="16" t="s">
        <v>156</v>
      </c>
      <c r="D12" s="34" t="s">
        <v>152</v>
      </c>
      <c r="E12" s="28">
        <f>+'Results of Operations Regulated'!G102</f>
        <v>176156.5801510707</v>
      </c>
      <c r="F12" s="16" t="s">
        <v>153</v>
      </c>
      <c r="K12" s="29"/>
      <c r="M12" s="16" t="s">
        <v>157</v>
      </c>
      <c r="P12" s="16" t="s">
        <v>158</v>
      </c>
      <c r="T12" s="30">
        <f>$E$12*1.25</f>
        <v>220195.72518883838</v>
      </c>
      <c r="U12" s="31">
        <f>100*(+T12/$E$13)</f>
        <v>322.57673380958971</v>
      </c>
      <c r="V12" s="32">
        <f>EXP(5.6922-(0.68367*LN(U12)))</f>
        <v>5.7149692671770378</v>
      </c>
      <c r="W12" s="32">
        <f>(+V12*U12)/100</f>
        <v>18.435161200281534</v>
      </c>
      <c r="X12" s="31">
        <f>100*((((W12/100)-((W12/100)-0.03574)*$E$25)-0.03574-0.00619)/0.344)</f>
        <v>32.329410895995395</v>
      </c>
      <c r="Y12">
        <v>0</v>
      </c>
      <c r="Z12" s="31">
        <f>X12+Y12</f>
        <v>32.329410895995395</v>
      </c>
      <c r="AA12" s="31">
        <f>100*($E$21*$E$23+($E$22*(Z12/100))/(1-$E$25))</f>
        <v>26.653982958983839</v>
      </c>
      <c r="AB12" s="32">
        <f>AA12/U12</f>
        <v>8.2628349057304068E-2</v>
      </c>
      <c r="AC12" s="30">
        <f>$E$12/(1-AB12)</f>
        <v>192023.13475683631</v>
      </c>
      <c r="AD12" t="str">
        <f>IF(AC12=$T$12,"yes","not yet")</f>
        <v>not yet</v>
      </c>
      <c r="AE12" s="31">
        <f>100*(1-AB12)</f>
        <v>91.737165094269585</v>
      </c>
      <c r="AH12">
        <v>401</v>
      </c>
      <c r="AI12">
        <v>4</v>
      </c>
    </row>
    <row r="13" spans="1:35">
      <c r="B13" s="34" t="s">
        <v>150</v>
      </c>
      <c r="C13" s="16" t="s">
        <v>159</v>
      </c>
      <c r="E13" s="28">
        <f>+'Results of Operations Regulated'!G108</f>
        <v>68261.502492245854</v>
      </c>
      <c r="F13" s="16" t="s">
        <v>153</v>
      </c>
      <c r="K13" s="29"/>
      <c r="Z13" s="31"/>
    </row>
    <row r="14" spans="1:35">
      <c r="C14" s="16" t="s">
        <v>160</v>
      </c>
      <c r="E14" s="31">
        <f>U9</f>
        <v>322.57673380958971</v>
      </c>
      <c r="F14" s="16" t="s">
        <v>161</v>
      </c>
      <c r="H14" s="31"/>
      <c r="U14" s="2" t="s">
        <v>162</v>
      </c>
      <c r="V14" s="2" t="s">
        <v>133</v>
      </c>
      <c r="W14" s="2" t="s">
        <v>134</v>
      </c>
      <c r="X14" s="2" t="s">
        <v>135</v>
      </c>
      <c r="Z14" s="31"/>
      <c r="AH14" s="16" t="s">
        <v>163</v>
      </c>
    </row>
    <row r="15" spans="1:35">
      <c r="C15" s="16" t="s">
        <v>164</v>
      </c>
      <c r="E15" s="31">
        <f>HLOOKUP($AI$38,$AI$32:$AQ$36,$E$16+1)</f>
        <v>283.62841086747454</v>
      </c>
      <c r="F15" s="16" t="s">
        <v>161</v>
      </c>
      <c r="U15" s="31">
        <f>100*(+AC9/$E$13)</f>
        <v>282.25181934253482</v>
      </c>
      <c r="V15" s="35">
        <f>EXP(5.7226-(0.68367*LN(+U15)))</f>
        <v>6.4545619770301794</v>
      </c>
      <c r="W15" s="32">
        <f>(+V15*U15)/100</f>
        <v>18.218118610759166</v>
      </c>
      <c r="X15" s="31">
        <f>100*((((W15/100)-((W15/100)-0.03574)*$E$25)-0.03574-0.00619)/0.344)</f>
        <v>31.830970065406223</v>
      </c>
      <c r="Y15">
        <v>0</v>
      </c>
      <c r="Z15" s="31">
        <f>X15+Y15</f>
        <v>31.830970065406223</v>
      </c>
      <c r="AA15" s="31">
        <f>100*($E$21*$E$23+($E$22*(Z15/100))/(1-$E$25))</f>
        <v>26.275420302840168</v>
      </c>
      <c r="AB15" s="32">
        <f>AA15/U15</f>
        <v>9.3092120235203427E-2</v>
      </c>
      <c r="AC15" s="30">
        <f>$E$12/(1-AB15)</f>
        <v>194238.66974973941</v>
      </c>
      <c r="AD15" t="str">
        <f>IF(OR(OR(AC15=AC9,AC15=(AC9+1)),AC15=(AC8193-1)),"yes","not yet")</f>
        <v>not yet</v>
      </c>
      <c r="AE15" s="31">
        <f>100*(1-AB15)</f>
        <v>90.690787976479655</v>
      </c>
    </row>
    <row r="16" spans="1:35">
      <c r="C16" s="16" t="s">
        <v>165</v>
      </c>
      <c r="E16">
        <f>VLOOKUP(E14,AH9:AI12,2)</f>
        <v>3</v>
      </c>
      <c r="F16" s="16" t="s">
        <v>161</v>
      </c>
      <c r="U16" s="31">
        <f>100*(+AC10/$E$13)</f>
        <v>281.80120603220087</v>
      </c>
      <c r="V16" s="35">
        <f>EXP(5.70827-(0.68367*LN(+U16)))</f>
        <v>6.369681773341334</v>
      </c>
      <c r="W16" s="32">
        <f>(+V16*U16)/100</f>
        <v>17.949840057689158</v>
      </c>
      <c r="X16" s="31">
        <f>100*((((W16/100)-((W16/100)-0.03574)*$E$25)-0.03574-0.00619)/0.344)</f>
        <v>31.214865248762901</v>
      </c>
      <c r="Y16">
        <v>0</v>
      </c>
      <c r="Z16" s="31">
        <f>X16+Y16</f>
        <v>31.214865248762901</v>
      </c>
      <c r="AA16" s="31">
        <f>100*($E$21*$E$23+($E$22*(Z16/100))/(1-$E$25))</f>
        <v>25.807492593997139</v>
      </c>
      <c r="AB16" s="32">
        <f>AA16/U16</f>
        <v>9.158049022348104E-2</v>
      </c>
      <c r="AC16" s="30">
        <f>$E$12/(1-AB16)</f>
        <v>193915.45233810216</v>
      </c>
      <c r="AD16" t="str">
        <f>IF(OR(OR(AC16=AC10,AC16=(AC10+1)),AC16=(AC10-1)),"yes","not yet")</f>
        <v>not yet</v>
      </c>
      <c r="AE16" s="31">
        <f>100*(1-AB16)</f>
        <v>90.841950977651891</v>
      </c>
    </row>
    <row r="17" spans="2:42">
      <c r="U17" s="31">
        <f>100*(+AC11/$E$13)</f>
        <v>281.49847534340091</v>
      </c>
      <c r="V17" s="35">
        <f>EXP(5.6985-(0.68367*LN(U17)))</f>
        <v>6.3123898974272921</v>
      </c>
      <c r="W17" s="32">
        <f>(+V17*U17)/100</f>
        <v>17.769281318988696</v>
      </c>
      <c r="X17" s="31">
        <f>100*((((W17/100)-((W17/100)-0.03574)*$E$25)-0.03574-0.00619)/0.344)</f>
        <v>30.800210005817075</v>
      </c>
      <c r="Y17">
        <v>0</v>
      </c>
      <c r="Z17" s="31">
        <f>X17+Y17</f>
        <v>30.800210005817075</v>
      </c>
      <c r="AA17" s="31">
        <f>100*($E$21*$E$23+($E$22*(Z17/100))/(1-$E$25))</f>
        <v>25.492564561380053</v>
      </c>
      <c r="AB17" s="32">
        <f>AA17/U17</f>
        <v>9.0560222503093812E-2</v>
      </c>
      <c r="AC17" s="30">
        <f>$E$12/(1-AB17)</f>
        <v>193697.90557865714</v>
      </c>
      <c r="AD17" t="str">
        <f>IF(OR(OR(AC17=AC11,AC17=(AC11+1)),AC17=(AC11-1)),"yes","not yet")</f>
        <v>not yet</v>
      </c>
      <c r="AE17" s="31">
        <f>100*(1-AB17)</f>
        <v>90.943977749690617</v>
      </c>
      <c r="AI17">
        <v>1</v>
      </c>
      <c r="AJ17">
        <v>2</v>
      </c>
      <c r="AK17">
        <v>3</v>
      </c>
      <c r="AL17">
        <v>4</v>
      </c>
      <c r="AM17">
        <v>5</v>
      </c>
      <c r="AN17">
        <v>7</v>
      </c>
      <c r="AO17">
        <v>8</v>
      </c>
      <c r="AP17">
        <v>9</v>
      </c>
    </row>
    <row r="18" spans="2:42">
      <c r="C18" s="16" t="s">
        <v>166</v>
      </c>
      <c r="U18" s="31">
        <f>100*(+AC12/$E$13)</f>
        <v>281.30516872031802</v>
      </c>
      <c r="V18" s="35">
        <f>EXP(5.6922-(0.68367*LN(U18)))</f>
        <v>6.2756934812543577</v>
      </c>
      <c r="W18" s="32">
        <f>(+V18*U18)/100</f>
        <v>17.653850135812569</v>
      </c>
      <c r="X18" s="31">
        <f>100*((((W18/100)-((W18/100)-0.03574)*$E$25)-0.03574-0.00619)/0.344)</f>
        <v>30.535120951430027</v>
      </c>
      <c r="Y18">
        <v>0</v>
      </c>
      <c r="Z18" s="31">
        <f>X18+Y18</f>
        <v>30.535120951430027</v>
      </c>
      <c r="AA18" s="31">
        <f>100*($E$21*$E$23+($E$22*(Z18/100))/(1-$E$25))</f>
        <v>25.291231102351919</v>
      </c>
      <c r="AB18" s="32">
        <f>AA18/U18</f>
        <v>8.9906741555457206E-2</v>
      </c>
      <c r="AC18" s="30">
        <f>$E$12/(1-AB18)</f>
        <v>193558.82324866703</v>
      </c>
      <c r="AD18" t="str">
        <f>IF(OR(OR(AC18=AC12,AC18=(AC12+1)),AC18=(AC12-1)),"yes","not yet")</f>
        <v>not yet</v>
      </c>
      <c r="AE18" s="31">
        <f>100*(1-AB18)</f>
        <v>91.009325844454281</v>
      </c>
      <c r="AI18" t="str">
        <f>AD9</f>
        <v>not yet</v>
      </c>
      <c r="AJ18" t="str">
        <f>AD15</f>
        <v>not yet</v>
      </c>
      <c r="AK18" t="str">
        <f>AD21</f>
        <v>not yet</v>
      </c>
      <c r="AL18" t="str">
        <f>AD27</f>
        <v>not yet</v>
      </c>
      <c r="AM18" t="str">
        <f>AD33</f>
        <v>not yet</v>
      </c>
      <c r="AN18">
        <f>AC45</f>
        <v>194145</v>
      </c>
      <c r="AO18">
        <f>AC51</f>
        <v>194145</v>
      </c>
      <c r="AP18">
        <f>AC57</f>
        <v>194145</v>
      </c>
    </row>
    <row r="19" spans="2:42">
      <c r="C19" s="16" t="s">
        <v>167</v>
      </c>
      <c r="E19" s="34" t="s">
        <v>142</v>
      </c>
      <c r="F19" s="16" t="s">
        <v>168</v>
      </c>
      <c r="H19" s="31">
        <f>HLOOKUP($AI$29,$AI$23:$AQ$27,$E$16+1)</f>
        <v>90.985897865527662</v>
      </c>
      <c r="I19" s="16" t="s">
        <v>144</v>
      </c>
      <c r="J19" s="36"/>
      <c r="Z19" s="31"/>
      <c r="AI19" t="str">
        <f>AD10</f>
        <v>not yet</v>
      </c>
      <c r="AJ19" t="str">
        <f>AD16</f>
        <v>not yet</v>
      </c>
      <c r="AK19" t="str">
        <f>AD22</f>
        <v>not yet</v>
      </c>
      <c r="AL19" t="str">
        <f>AD28</f>
        <v>not yet</v>
      </c>
      <c r="AM19" t="str">
        <f>AD34</f>
        <v>not yet</v>
      </c>
      <c r="AN19">
        <f>AC46</f>
        <v>193824</v>
      </c>
      <c r="AO19">
        <f>AC52</f>
        <v>193824</v>
      </c>
      <c r="AP19">
        <f>AC58</f>
        <v>193824</v>
      </c>
    </row>
    <row r="20" spans="2:42">
      <c r="C20" s="37" t="s">
        <v>152</v>
      </c>
      <c r="D20" s="37" t="s">
        <v>152</v>
      </c>
      <c r="E20" s="38"/>
      <c r="H20" s="37" t="s">
        <v>169</v>
      </c>
      <c r="U20" s="16" t="s">
        <v>170</v>
      </c>
      <c r="V20" s="2" t="s">
        <v>133</v>
      </c>
      <c r="W20" s="2" t="s">
        <v>134</v>
      </c>
      <c r="X20" s="2" t="s">
        <v>135</v>
      </c>
      <c r="Z20" s="31"/>
      <c r="AI20" t="str">
        <f>AD11</f>
        <v>not yet</v>
      </c>
      <c r="AJ20" t="str">
        <f>AD17</f>
        <v>not yet</v>
      </c>
      <c r="AK20" t="str">
        <f>AD23</f>
        <v>not yet</v>
      </c>
      <c r="AL20" t="str">
        <f>AD29</f>
        <v>not yet</v>
      </c>
      <c r="AM20" t="str">
        <f>AD35</f>
        <v>not yet</v>
      </c>
      <c r="AN20">
        <f>AC47</f>
        <v>193609</v>
      </c>
      <c r="AO20">
        <f>AC53</f>
        <v>193609</v>
      </c>
      <c r="AP20">
        <f>AC59</f>
        <v>193609</v>
      </c>
    </row>
    <row r="21" spans="2:42">
      <c r="B21" s="34" t="s">
        <v>150</v>
      </c>
      <c r="C21" s="16" t="s">
        <v>171</v>
      </c>
      <c r="E21" s="40">
        <v>0.4</v>
      </c>
      <c r="F21" s="16" t="s">
        <v>172</v>
      </c>
      <c r="U21" s="31">
        <f>100*(+AC15/$E$13)</f>
        <v>284.55082683215755</v>
      </c>
      <c r="V21" s="35">
        <f>EXP(5.7226-(0.68367*LN(+U21)))</f>
        <v>6.4188634390776791</v>
      </c>
      <c r="W21" s="32">
        <f>(+V21*U21)/100</f>
        <v>18.264928989122598</v>
      </c>
      <c r="X21" s="31">
        <f>100*((((W21/100)-((W21/100)-0.03574)*$E$25)-0.03574-0.00619)/0.344)</f>
        <v>31.938470643624576</v>
      </c>
      <c r="Y21">
        <v>0</v>
      </c>
      <c r="Z21" s="31">
        <f>X21+Y21</f>
        <v>31.938470643624576</v>
      </c>
      <c r="AA21" s="31">
        <f>100*($E$21*$E$23+($E$22*(Z21/100))/(1-$E$25))</f>
        <v>26.357066311613604</v>
      </c>
      <c r="AB21" s="32">
        <f>AA21/U21</f>
        <v>9.2626918730270749E-2</v>
      </c>
      <c r="AC21" s="30">
        <f>$E$12/(1-AB21)</f>
        <v>194139.08544054074</v>
      </c>
      <c r="AD21" t="str">
        <f>IF(OR(OR(AC21=AC15,AC21=(AC15+1)),AC21=(AC7-1)),"yes","not yet")</f>
        <v>not yet</v>
      </c>
      <c r="AE21" s="31">
        <f>100*(1-AB21)</f>
        <v>90.73730812697292</v>
      </c>
      <c r="AI21" t="str">
        <f>AD12</f>
        <v>not yet</v>
      </c>
      <c r="AJ21" t="str">
        <f>AD18</f>
        <v>not yet</v>
      </c>
      <c r="AK21" t="str">
        <f>AD24</f>
        <v>not yet</v>
      </c>
      <c r="AL21" t="str">
        <f>AD30</f>
        <v>not yet</v>
      </c>
      <c r="AM21" t="str">
        <f>AD36</f>
        <v>not yet</v>
      </c>
      <c r="AN21">
        <f>AC48</f>
        <v>193471</v>
      </c>
      <c r="AO21">
        <f>AC54</f>
        <v>193471</v>
      </c>
      <c r="AP21">
        <f>AC60</f>
        <v>193471</v>
      </c>
    </row>
    <row r="22" spans="2:42">
      <c r="B22" s="34" t="s">
        <v>150</v>
      </c>
      <c r="C22" s="16" t="s">
        <v>173</v>
      </c>
      <c r="E22" s="40">
        <v>0.6</v>
      </c>
      <c r="F22" s="16" t="s">
        <v>174</v>
      </c>
      <c r="H22" s="46">
        <v>1.7999999999999999E-2</v>
      </c>
      <c r="I22" s="16" t="s">
        <v>150</v>
      </c>
      <c r="U22" s="31">
        <f>100*(+AC16/$E$13)</f>
        <v>284.07732800802313</v>
      </c>
      <c r="V22" s="35">
        <f>EXP(5.70827-(0.68367*LN(+U22)))</f>
        <v>6.334745612533256</v>
      </c>
      <c r="W22" s="32">
        <f>(+V22*U22)/100</f>
        <v>17.995576072189952</v>
      </c>
      <c r="X22" s="31">
        <f>100*((((W22/100)-((W22/100)-0.03574)*$E$25)-0.03574-0.00619)/0.344)</f>
        <v>31.319898537878089</v>
      </c>
      <c r="Y22">
        <v>0</v>
      </c>
      <c r="Z22" s="31">
        <f>X22+Y22</f>
        <v>31.319898537878089</v>
      </c>
      <c r="AA22" s="31">
        <f>100*($E$21*$E$23+($E$22*(Z22/100))/(1-$E$25))</f>
        <v>25.887264712312469</v>
      </c>
      <c r="AB22" s="32">
        <f>AA22/U22</f>
        <v>9.1127528176346895E-2</v>
      </c>
      <c r="AC22" s="30">
        <f>$E$12/(1-AB22)</f>
        <v>193818.80914229079</v>
      </c>
      <c r="AD22" t="str">
        <f>IF(OR(OR(AC22=AC16,AC22=(AC16+1)),AC22=(AC16-1)),"yes","not yet")</f>
        <v>not yet</v>
      </c>
      <c r="AE22" s="31">
        <f>100*(1-AB22)</f>
        <v>90.887247182365314</v>
      </c>
    </row>
    <row r="23" spans="2:42">
      <c r="B23" s="34" t="s">
        <v>150</v>
      </c>
      <c r="C23" s="16" t="s">
        <v>175</v>
      </c>
      <c r="E23" s="41">
        <v>5.2499999999999998E-2</v>
      </c>
      <c r="F23" s="16" t="s">
        <v>176</v>
      </c>
      <c r="H23" s="77">
        <v>5.1000000000000004E-3</v>
      </c>
      <c r="I23" s="16" t="s">
        <v>150</v>
      </c>
      <c r="U23" s="31">
        <f>100*(+AC17/$E$13)</f>
        <v>283.75863188868453</v>
      </c>
      <c r="V23" s="35">
        <f>EXP(5.6985-(0.68367*LN(U23)))</f>
        <v>6.2779724645127164</v>
      </c>
      <c r="W23" s="32">
        <f>(+V23*U23)/100</f>
        <v>17.814288775649615</v>
      </c>
      <c r="X23" s="31">
        <f>100*((((W23/100)-((W23/100)-0.03574)*$E$25)-0.03574-0.00619)/0.344)</f>
        <v>30.903570153381381</v>
      </c>
      <c r="Y23">
        <v>0</v>
      </c>
      <c r="Z23" s="31">
        <f>X23+Y23</f>
        <v>30.903570153381381</v>
      </c>
      <c r="AA23" s="31">
        <f>100*($E$21*$E$23+($E$22*(Z23/100))/(1-$E$25))</f>
        <v>25.571065939276998</v>
      </c>
      <c r="AB23" s="32">
        <f>AA23/U23</f>
        <v>9.0115552676149971E-2</v>
      </c>
      <c r="AC23" s="30">
        <f>$E$12/(1-AB23)</f>
        <v>193603.24343292383</v>
      </c>
      <c r="AD23" t="str">
        <f>IF(OR(OR(AC23=AC17,AC23=(AC17+1)),AC23=(AC17-1)),"yes","not yet")</f>
        <v>not yet</v>
      </c>
      <c r="AE23" s="31">
        <f>100*(1-AB23)</f>
        <v>90.988444732385005</v>
      </c>
      <c r="AI23" t="str">
        <f>HLOOKUP(1,$AI$17:$AQ$21,$E$16+1)</f>
        <v>not yet</v>
      </c>
      <c r="AJ23" t="str">
        <f>HLOOKUP(2,$AI$17:$AQ$21,$E$16+1)</f>
        <v>not yet</v>
      </c>
      <c r="AK23" t="str">
        <f>HLOOKUP(3,$AI$17:$AQ$21,$E$16+1)</f>
        <v>not yet</v>
      </c>
      <c r="AL23" t="str">
        <f>HLOOKUP(4,$AI$17:$AQ$21,$E$16+1)</f>
        <v>not yet</v>
      </c>
      <c r="AM23" t="str">
        <f>HLOOKUP(5,$AI$17:$AQ$21,$E$16+1)</f>
        <v>not yet</v>
      </c>
      <c r="AN23">
        <f>HLOOKUP(7,$AI$17:$AQ$21,$E$16+1)</f>
        <v>193609</v>
      </c>
      <c r="AO23">
        <f>HLOOKUP(8,$AI$17:$AQ$21,$E$16+1)</f>
        <v>193609</v>
      </c>
      <c r="AP23">
        <f>HLOOKUP(9,$AI$17:$AQ$21,$E$16+1)</f>
        <v>193609</v>
      </c>
    </row>
    <row r="24" spans="2:42">
      <c r="E24" s="39"/>
      <c r="F24" s="16" t="s">
        <v>177</v>
      </c>
      <c r="H24" s="46">
        <v>0</v>
      </c>
      <c r="I24" s="16" t="s">
        <v>150</v>
      </c>
      <c r="U24" s="31">
        <f>100*(+AC18/$E$13)</f>
        <v>283.55488259382258</v>
      </c>
      <c r="V24" s="35">
        <f>EXP(5.6922-(0.68367*LN(U24)))</f>
        <v>6.2416099212205687</v>
      </c>
      <c r="W24" s="32">
        <f>(+V24*U24)/100</f>
        <v>17.698389684081366</v>
      </c>
      <c r="X24" s="31">
        <f>100*((((W24/100)-((W24/100)-0.03574)*$E$25)-0.03574-0.00619)/0.344)</f>
        <v>30.63740654193105</v>
      </c>
      <c r="Y24">
        <v>0</v>
      </c>
      <c r="Z24" s="31">
        <f>X24+Y24</f>
        <v>30.63740654193105</v>
      </c>
      <c r="AA24" s="31">
        <f>100*($E$21*$E$23+($E$22*(Z24/100))/(1-$E$25))</f>
        <v>25.368916360960288</v>
      </c>
      <c r="AB24" s="32">
        <f>AA24/U24</f>
        <v>8.9467393856518154E-2</v>
      </c>
      <c r="AC24" s="30">
        <f>$E$12/(1-AB24)</f>
        <v>193465.42777547927</v>
      </c>
      <c r="AD24" t="str">
        <f>IF(OR(OR(AC24=AC18,AC24=(AC18+1)),AC24=(AC18-1)),"yes","not yet")</f>
        <v>not yet</v>
      </c>
      <c r="AE24" s="31">
        <f>100*(1-AB24)</f>
        <v>91.05326061434819</v>
      </c>
      <c r="AH24">
        <v>1</v>
      </c>
      <c r="AI24" s="31">
        <f>AE9</f>
        <v>91.429485786411874</v>
      </c>
      <c r="AJ24" s="31">
        <f>AE15</f>
        <v>90.690787976479655</v>
      </c>
      <c r="AK24" s="31">
        <f>AE21</f>
        <v>90.73730812697292</v>
      </c>
      <c r="AL24" s="31">
        <f>AE27</f>
        <v>90.734373757526214</v>
      </c>
      <c r="AM24" s="31">
        <f>AE33</f>
        <v>90.734558831060724</v>
      </c>
      <c r="AN24" s="31" t="str">
        <f>AD45</f>
        <v>yes</v>
      </c>
      <c r="AO24" s="31" t="str">
        <f>AD51</f>
        <v>yes</v>
      </c>
      <c r="AP24" s="31" t="str">
        <f>AD57</f>
        <v>yes</v>
      </c>
    </row>
    <row r="25" spans="2:42">
      <c r="B25" s="34" t="s">
        <v>150</v>
      </c>
      <c r="C25" s="16" t="s">
        <v>178</v>
      </c>
      <c r="E25" s="40">
        <v>0.21</v>
      </c>
      <c r="F25" s="16" t="s">
        <v>179</v>
      </c>
      <c r="H25" s="46">
        <v>1.2E-2</v>
      </c>
      <c r="I25" s="16" t="s">
        <v>150</v>
      </c>
      <c r="Z25" s="31"/>
      <c r="AH25">
        <v>2</v>
      </c>
      <c r="AI25" s="31">
        <f>AE10</f>
        <v>91.575685811005229</v>
      </c>
      <c r="AJ25" s="31">
        <f>AE16</f>
        <v>90.841950977651891</v>
      </c>
      <c r="AK25" s="31">
        <f>AE22</f>
        <v>90.887247182365314</v>
      </c>
      <c r="AL25" s="31">
        <f>AE28</f>
        <v>90.884446379833278</v>
      </c>
      <c r="AM25" s="31">
        <f>AE34</f>
        <v>90.884619544774338</v>
      </c>
      <c r="AN25" s="31" t="str">
        <f>AD46</f>
        <v>yes</v>
      </c>
      <c r="AO25" s="31" t="str">
        <f>AD52</f>
        <v>yes</v>
      </c>
      <c r="AP25" s="31" t="str">
        <f>AD58</f>
        <v>yes</v>
      </c>
    </row>
    <row r="26" spans="2:42">
      <c r="H26" s="37" t="s">
        <v>152</v>
      </c>
      <c r="U26" s="16" t="s">
        <v>180</v>
      </c>
      <c r="V26" s="2" t="s">
        <v>133</v>
      </c>
      <c r="W26" s="2" t="s">
        <v>134</v>
      </c>
      <c r="X26" s="2" t="s">
        <v>135</v>
      </c>
      <c r="Z26" s="31"/>
      <c r="AH26">
        <v>3</v>
      </c>
      <c r="AI26" s="31">
        <f>AE11</f>
        <v>91.674168655038656</v>
      </c>
      <c r="AJ26" s="31">
        <f>AE17</f>
        <v>90.943977749690617</v>
      </c>
      <c r="AK26" s="31">
        <f>AE23</f>
        <v>90.988444732385005</v>
      </c>
      <c r="AL26" s="31">
        <f>AE29</f>
        <v>90.985732444219408</v>
      </c>
      <c r="AM26" s="31">
        <f>AE35</f>
        <v>90.985897865527662</v>
      </c>
      <c r="AN26" s="31" t="str">
        <f>AD47</f>
        <v>yes</v>
      </c>
      <c r="AO26" s="31" t="str">
        <f>AD53</f>
        <v>yes</v>
      </c>
      <c r="AP26" s="31" t="str">
        <f>AD59</f>
        <v>yes</v>
      </c>
    </row>
    <row r="27" spans="2:42">
      <c r="F27" s="16" t="s">
        <v>181</v>
      </c>
      <c r="H27" s="29">
        <f>SUM(H22:H25)</f>
        <v>3.5099999999999999E-2</v>
      </c>
      <c r="U27" s="31">
        <f>100*(+AC21/$E$13)</f>
        <v>284.40494034334199</v>
      </c>
      <c r="V27" s="35">
        <f>EXP(5.7226-(0.68367*LN(+U27)))</f>
        <v>6.4211142932896914</v>
      </c>
      <c r="W27" s="32">
        <f>(+V27*U27)/100</f>
        <v>18.261966275208355</v>
      </c>
      <c r="X27" s="31">
        <f>100*((((W27/100)-((W27/100)-0.03574)*$E$25)-0.03574-0.00619)/0.344)</f>
        <v>31.931666736670355</v>
      </c>
      <c r="Y27">
        <v>0</v>
      </c>
      <c r="Z27" s="31">
        <f>X27+Y27</f>
        <v>31.931666736670355</v>
      </c>
      <c r="AA27" s="31">
        <f>100*($E$21*$E$23+($E$22*(Z27/100))/(1-$E$25))</f>
        <v>26.351898787344574</v>
      </c>
      <c r="AB27" s="32">
        <f>AA27/U27</f>
        <v>9.2656262424737734E-2</v>
      </c>
      <c r="AC27" s="30">
        <f>$E$12/(1-AB27)</f>
        <v>194145.36394092749</v>
      </c>
      <c r="AD27" t="str">
        <f>IF(OR(OR(AC27=AC21,AC27=(AC21+1)),AC27=(AC13-1)),"yes","not yet")</f>
        <v>not yet</v>
      </c>
      <c r="AE27" s="31">
        <f>100*(1-AB27)</f>
        <v>90.734373757526214</v>
      </c>
      <c r="AH27">
        <v>4</v>
      </c>
      <c r="AI27" s="31">
        <f>AE12</f>
        <v>91.737165094269585</v>
      </c>
      <c r="AJ27" s="31">
        <f>AE18</f>
        <v>91.009325844454281</v>
      </c>
      <c r="AK27" s="31">
        <f>AE24</f>
        <v>91.05326061434819</v>
      </c>
      <c r="AL27" s="31">
        <f>AE30</f>
        <v>91.050604312521955</v>
      </c>
      <c r="AM27" s="31">
        <f>AE36</f>
        <v>91.050764897293789</v>
      </c>
      <c r="AN27" s="31" t="str">
        <f>AD48</f>
        <v>yes</v>
      </c>
      <c r="AO27" s="31" t="str">
        <f>AD54</f>
        <v>yes</v>
      </c>
      <c r="AP27" s="31" t="str">
        <f>AD60</f>
        <v>yes</v>
      </c>
    </row>
    <row r="28" spans="2:42">
      <c r="U28" s="31">
        <f>100*(+AC22/$E$13)</f>
        <v>283.9357501167039</v>
      </c>
      <c r="V28" s="35">
        <f>EXP(5.70827-(0.68367*LN(+U28)))</f>
        <v>6.3369049316014445</v>
      </c>
      <c r="W28" s="32">
        <f>(+V28*U28)/100</f>
        <v>17.992738551724962</v>
      </c>
      <c r="X28" s="31">
        <f>100*((((W28/100)-((W28/100)-0.03574)*$E$25)-0.03574-0.00619)/0.344)</f>
        <v>31.313382139135822</v>
      </c>
      <c r="Y28">
        <v>0</v>
      </c>
      <c r="Z28" s="31">
        <f>X28+Y28</f>
        <v>31.313382139135822</v>
      </c>
      <c r="AA28" s="31">
        <f>100*($E$21*$E$23+($E$22*(Z28/100))/(1-$E$25))</f>
        <v>25.88231554871075</v>
      </c>
      <c r="AB28" s="32">
        <f>AA28/U28</f>
        <v>9.1155536201667262E-2</v>
      </c>
      <c r="AC28" s="30">
        <f>$E$12/(1-AB28)</f>
        <v>193824.78209182204</v>
      </c>
      <c r="AD28" t="str">
        <f>IF(OR(OR(AC28=AC22,AC28=(AC22+1)),AC28=(AC22-1)),"yes","not yet")</f>
        <v>not yet</v>
      </c>
      <c r="AE28" s="31">
        <f>100*(1-AB28)</f>
        <v>90.884446379833278</v>
      </c>
    </row>
    <row r="29" spans="2:42">
      <c r="F29" s="16" t="s">
        <v>182</v>
      </c>
      <c r="H29" s="32">
        <f>((+H19/100)-H27)</f>
        <v>0.87475897865527663</v>
      </c>
      <c r="U29" s="31">
        <f>100*(+AC23/$E$13)</f>
        <v>283.61995614572965</v>
      </c>
      <c r="V29" s="35">
        <f>EXP(5.6985-(0.68367*LN(U29)))</f>
        <v>6.280070902141321</v>
      </c>
      <c r="W29" s="32">
        <f>(+V29*U29)/100</f>
        <v>17.811534338573942</v>
      </c>
      <c r="X29" s="31">
        <f>100*((((W29/100)-((W29/100)-0.03574)*$E$25)-0.03574-0.00619)/0.344)</f>
        <v>30.897244556608765</v>
      </c>
      <c r="Y29">
        <v>0</v>
      </c>
      <c r="Z29" s="31">
        <f>X29+Y29</f>
        <v>30.897244556608765</v>
      </c>
      <c r="AA29" s="31">
        <f>100*($E$21*$E$23+($E$22*(Z29/100))/(1-$E$25))</f>
        <v>25.566261688563618</v>
      </c>
      <c r="AB29" s="32">
        <f>AA29/U29</f>
        <v>9.0142675557805807E-2</v>
      </c>
      <c r="AC29" s="30">
        <f>$E$12/(1-AB29)</f>
        <v>193609.01475301848</v>
      </c>
      <c r="AD29" t="str">
        <f>IF(OR(OR(AC29=AC23,AC29=(AC23+1)),AC29=(AC23-1)),"yes","not yet")</f>
        <v>not yet</v>
      </c>
      <c r="AE29" s="31">
        <f>100*(1-AB29)</f>
        <v>90.985732444219408</v>
      </c>
      <c r="AI29" s="16" t="s">
        <v>183</v>
      </c>
    </row>
    <row r="30" spans="2:42">
      <c r="U30" s="31">
        <f>100*(+AC24/$E$13)</f>
        <v>283.41806246860142</v>
      </c>
      <c r="V30" s="35">
        <f>EXP(5.6922-(0.68367*LN(U30)))</f>
        <v>6.2436697563037518</v>
      </c>
      <c r="W30" s="32">
        <f>(+V30*U30)/100</f>
        <v>17.695687850254142</v>
      </c>
      <c r="X30" s="31">
        <f>100*((((W30/100)-((W30/100)-0.03574)*$E$25)-0.03574-0.00619)/0.344)</f>
        <v>30.631201749130149</v>
      </c>
      <c r="Y30">
        <v>0</v>
      </c>
      <c r="Z30" s="31">
        <f>X30+Y30</f>
        <v>30.631201749130149</v>
      </c>
      <c r="AA30" s="31">
        <f>100*($E$21*$E$23+($E$22*(Z30/100))/(1-$E$25))</f>
        <v>25.364203860098844</v>
      </c>
      <c r="AB30" s="32">
        <f>AA30/U30</f>
        <v>8.9493956874780442E-2</v>
      </c>
      <c r="AC30" s="30">
        <f>$E$12/(1-AB30)</f>
        <v>193471.07191779983</v>
      </c>
      <c r="AD30" t="str">
        <f>IF(OR(OR(AC30=AC24,AC30=(AC24+1)),AC30=(AC24-1)),"yes","not yet")</f>
        <v>not yet</v>
      </c>
      <c r="AE30" s="31">
        <f>100*(1-AB30)</f>
        <v>91.050604312521955</v>
      </c>
      <c r="AI30" s="31">
        <f>HLOOKUP($AI$29,$AI$23:$AQ$27,$E$16+1)</f>
        <v>90.985897865527662</v>
      </c>
    </row>
    <row r="31" spans="2:42">
      <c r="E31" s="30"/>
      <c r="Z31" s="31"/>
    </row>
    <row r="32" spans="2:42">
      <c r="U32" s="16" t="s">
        <v>184</v>
      </c>
      <c r="V32" s="2" t="s">
        <v>133</v>
      </c>
      <c r="W32" s="2" t="s">
        <v>134</v>
      </c>
      <c r="X32" s="2" t="s">
        <v>135</v>
      </c>
      <c r="Z32" s="31"/>
      <c r="AI32" t="str">
        <f>HLOOKUP(1,$AI$17:$AQ$21,$E$16+1)</f>
        <v>not yet</v>
      </c>
      <c r="AJ32" t="str">
        <f>HLOOKUP(2,$AI$17:$AQ$21,$E$16+1)</f>
        <v>not yet</v>
      </c>
      <c r="AK32" t="str">
        <f>HLOOKUP(3,$AI$17:$AQ$21,$E$16+1)</f>
        <v>not yet</v>
      </c>
      <c r="AL32" t="str">
        <f>HLOOKUP(4,$AI$17:$AQ$21,$E$16+1)</f>
        <v>not yet</v>
      </c>
      <c r="AM32" t="str">
        <f>HLOOKUP(5,$AI$17:$AQ$21,$E$16+1)</f>
        <v>not yet</v>
      </c>
      <c r="AN32">
        <f>HLOOKUP(7,$AI$17:$AQ$21,$E$16+1)</f>
        <v>193609</v>
      </c>
      <c r="AO32">
        <f>HLOOKUP(8,$AI$17:$AQ$21,$E$16+1)</f>
        <v>193609</v>
      </c>
      <c r="AP32">
        <f>HLOOKUP(9,$AI$17:$AQ$21,$E$16+1)</f>
        <v>193609</v>
      </c>
    </row>
    <row r="33" spans="5:42">
      <c r="E33" s="30"/>
      <c r="U33" s="31">
        <f>100*(+AC27/$E$13)</f>
        <v>284.41413806117345</v>
      </c>
      <c r="V33" s="35">
        <f>EXP(5.7226-(0.68367*LN(+U33)))</f>
        <v>6.4209723260802463</v>
      </c>
      <c r="W33" s="32">
        <f>(+V33*U33)/100</f>
        <v>18.262153096367612</v>
      </c>
      <c r="X33" s="31">
        <f>100*((((W33/100)-((W33/100)-0.03574)*$E$25)-0.03574-0.00619)/0.344)</f>
        <v>31.932095773634927</v>
      </c>
      <c r="Y33">
        <v>0</v>
      </c>
      <c r="Z33" s="31">
        <f>X33+Y33</f>
        <v>31.932095773634927</v>
      </c>
      <c r="AA33" s="31">
        <f>100*($E$21*$E$23+($E$22*(Z33/100))/(1-$E$25))</f>
        <v>26.35222463820374</v>
      </c>
      <c r="AB33" s="32">
        <f>AA33/U33</f>
        <v>9.2654411689392702E-2</v>
      </c>
      <c r="AC33" s="30">
        <f>$E$12/(1-AB33)</f>
        <v>194144.96793780391</v>
      </c>
      <c r="AD33" t="str">
        <f>IF(OR(OR(AC33=AC27,AC33=(AC27+1)),AC33=(AC19-1)),"yes","not yet")</f>
        <v>not yet</v>
      </c>
      <c r="AE33" s="31">
        <f>100*(1-AB33)</f>
        <v>90.734558831060724</v>
      </c>
      <c r="AH33">
        <v>1</v>
      </c>
      <c r="AI33" s="31">
        <f>U9</f>
        <v>322.57673380958971</v>
      </c>
      <c r="AJ33" s="31">
        <f>U15</f>
        <v>282.25181934253482</v>
      </c>
      <c r="AK33" s="31">
        <f>U21</f>
        <v>284.55082683215755</v>
      </c>
      <c r="AL33" s="31">
        <f>U27</f>
        <v>284.40494034334199</v>
      </c>
      <c r="AM33" s="31">
        <f>U33</f>
        <v>284.41413806117345</v>
      </c>
      <c r="AN33" s="31">
        <f>T45</f>
        <v>0</v>
      </c>
      <c r="AO33" s="31">
        <f>T51</f>
        <v>0</v>
      </c>
      <c r="AP33" s="31">
        <f>T57</f>
        <v>0</v>
      </c>
    </row>
    <row r="34" spans="5:42">
      <c r="E34" s="30"/>
      <c r="U34" s="31">
        <f>100*(+AC28/$E$13)</f>
        <v>283.94450021641336</v>
      </c>
      <c r="V34" s="35">
        <f>EXP(5.70827-(0.68367*LN(+U34)))</f>
        <v>6.3367714241909487</v>
      </c>
      <c r="W34" s="32">
        <f>(+V34*U34)/100</f>
        <v>17.992913950275486</v>
      </c>
      <c r="X34" s="31">
        <f>100*((((W34/100)-((W34/100)-0.03574)*$E$25)-0.03574-0.00619)/0.344)</f>
        <v>31.313784943946615</v>
      </c>
      <c r="Y34">
        <v>0</v>
      </c>
      <c r="Z34" s="31">
        <f>X34+Y34</f>
        <v>31.313784943946615</v>
      </c>
      <c r="AA34" s="31">
        <f>100*($E$21*$E$23+($E$22*(Z34/100))/(1-$E$25))</f>
        <v>25.882621476415146</v>
      </c>
      <c r="AB34" s="32">
        <f>AA34/U34</f>
        <v>9.1153804552256676E-2</v>
      </c>
      <c r="AC34" s="30">
        <f>$E$12/(1-AB34)</f>
        <v>193824.41279218547</v>
      </c>
      <c r="AD34" t="str">
        <f>IF(OR(OR(AC34=AC28,AC34=(AC28+1)),AC34=(AC28-1)),"yes","not yet")</f>
        <v>not yet</v>
      </c>
      <c r="AE34" s="31">
        <f>100*(1-AB34)</f>
        <v>90.884619544774338</v>
      </c>
      <c r="AH34">
        <v>2</v>
      </c>
      <c r="AI34" s="31">
        <f>U10</f>
        <v>322.57673380958971</v>
      </c>
      <c r="AJ34" s="31">
        <f>U16</f>
        <v>281.80120603220087</v>
      </c>
      <c r="AK34" s="31">
        <f>U22</f>
        <v>284.07732800802313</v>
      </c>
      <c r="AL34" s="31">
        <f>U28</f>
        <v>283.9357501167039</v>
      </c>
      <c r="AM34" s="31">
        <f>U34</f>
        <v>283.94450021641336</v>
      </c>
      <c r="AN34" s="31">
        <f>T46</f>
        <v>0</v>
      </c>
      <c r="AO34" s="31">
        <f>T52</f>
        <v>0</v>
      </c>
      <c r="AP34" s="31">
        <f>T58</f>
        <v>0</v>
      </c>
    </row>
    <row r="35" spans="5:42">
      <c r="E35" s="30"/>
      <c r="U35" s="31">
        <f>100*(+AC29/$E$13)</f>
        <v>283.62841086747454</v>
      </c>
      <c r="V35" s="35">
        <f>EXP(5.6985-(0.68367*LN(U35)))</f>
        <v>6.2799429160709046</v>
      </c>
      <c r="W35" s="32">
        <f>(+V35*U35)/100</f>
        <v>17.811702296236447</v>
      </c>
      <c r="X35" s="31">
        <f>100*((((W35/100)-((W35/100)-0.03574)*$E$25)-0.03574-0.00619)/0.344)</f>
        <v>30.897630273333711</v>
      </c>
      <c r="Y35">
        <v>0</v>
      </c>
      <c r="Z35" s="31">
        <f>X35+Y35</f>
        <v>30.897630273333711</v>
      </c>
      <c r="AA35" s="31">
        <f>100*($E$21*$E$23+($E$22*(Z35/100))/(1-$E$25))</f>
        <v>25.566554637974971</v>
      </c>
      <c r="AB35" s="32">
        <f>AA35/U35</f>
        <v>9.0141021344723293E-2</v>
      </c>
      <c r="AC35" s="30">
        <f>$E$12/(1-AB35)</f>
        <v>193608.66275279361</v>
      </c>
      <c r="AD35" t="str">
        <f>IF(OR(OR(AC35=AC29,AC35=(AC29+1)),AC35=(AC29-1)),"yes","not yet")</f>
        <v>not yet</v>
      </c>
      <c r="AE35" s="31">
        <f>100*(1-AB35)</f>
        <v>90.985897865527662</v>
      </c>
      <c r="AH35">
        <v>3</v>
      </c>
      <c r="AI35" s="31">
        <f>U11</f>
        <v>322.57673380958971</v>
      </c>
      <c r="AJ35" s="31">
        <f>U17</f>
        <v>281.49847534340091</v>
      </c>
      <c r="AK35" s="31">
        <f>U23</f>
        <v>283.75863188868453</v>
      </c>
      <c r="AL35" s="31">
        <f>U29</f>
        <v>283.61995614572965</v>
      </c>
      <c r="AM35" s="31">
        <f>U35</f>
        <v>283.62841086747454</v>
      </c>
      <c r="AN35" s="31">
        <f>T47</f>
        <v>0</v>
      </c>
      <c r="AO35" s="31">
        <f>T53</f>
        <v>0</v>
      </c>
      <c r="AP35" s="31">
        <f>T59</f>
        <v>0</v>
      </c>
    </row>
    <row r="36" spans="5:42">
      <c r="E36" s="30"/>
      <c r="U36" s="31">
        <f>100*(+AC30/$E$13)</f>
        <v>283.4263308806851</v>
      </c>
      <c r="V36" s="35">
        <f>EXP(5.6922-(0.68367*LN(U36)))</f>
        <v>6.2435452273413583</v>
      </c>
      <c r="W36" s="32">
        <f>(+V36*U36)/100</f>
        <v>17.695851154729741</v>
      </c>
      <c r="X36" s="31">
        <f>100*((((W36/100)-((W36/100)-0.03574)*$E$25)-0.03574-0.00619)/0.344)</f>
        <v>30.631576779757253</v>
      </c>
      <c r="Y36">
        <v>0</v>
      </c>
      <c r="Z36" s="31">
        <f>X36+Y36</f>
        <v>30.631576779757253</v>
      </c>
      <c r="AA36" s="31">
        <f>100*($E$21*$E$23+($E$22*(Z36/100))/(1-$E$25))</f>
        <v>25.364488693486521</v>
      </c>
      <c r="AB36" s="32">
        <f>AA36/U36</f>
        <v>8.94923510270621E-2</v>
      </c>
      <c r="AC36" s="30">
        <f>$E$12/(1-AB36)</f>
        <v>193470.73069597728</v>
      </c>
      <c r="AD36" t="str">
        <f>IF(OR(OR(AC36=AC30,AC36=(AC30+1)),AC36=(AC30-1)),"yes","not yet")</f>
        <v>not yet</v>
      </c>
      <c r="AE36" s="31">
        <f>100*(1-AB36)</f>
        <v>91.050764897293789</v>
      </c>
      <c r="AH36">
        <v>4</v>
      </c>
      <c r="AI36" s="31">
        <f>U12</f>
        <v>322.57673380958971</v>
      </c>
      <c r="AJ36" s="31">
        <f>U18</f>
        <v>281.30516872031802</v>
      </c>
      <c r="AK36" s="31">
        <f>U24</f>
        <v>283.55488259382258</v>
      </c>
      <c r="AL36" s="31">
        <f>U30</f>
        <v>283.41806246860142</v>
      </c>
      <c r="AM36" s="31">
        <f>U36</f>
        <v>283.4263308806851</v>
      </c>
      <c r="AN36" s="31">
        <f>T48</f>
        <v>0</v>
      </c>
      <c r="AO36" s="31">
        <f>T54</f>
        <v>0</v>
      </c>
      <c r="AP36" s="31">
        <f>T60</f>
        <v>0</v>
      </c>
    </row>
    <row r="37" spans="5:42">
      <c r="E37" s="30"/>
      <c r="Z37" s="31"/>
    </row>
    <row r="38" spans="5:42">
      <c r="U38" s="16" t="s">
        <v>185</v>
      </c>
      <c r="V38" s="2" t="s">
        <v>133</v>
      </c>
      <c r="W38" s="2" t="s">
        <v>134</v>
      </c>
      <c r="X38" s="2" t="s">
        <v>135</v>
      </c>
      <c r="Z38" s="31"/>
      <c r="AI38" s="16" t="s">
        <v>183</v>
      </c>
    </row>
    <row r="39" spans="5:42">
      <c r="U39" s="31">
        <f>100*(+AC33/$E$13)</f>
        <v>284.41355793458803</v>
      </c>
      <c r="V39" s="35">
        <f>EXP(5.7226-(0.68367*LN(+U39)))</f>
        <v>6.4209812801331134</v>
      </c>
      <c r="W39" s="32">
        <f>(+V39*U39)/100</f>
        <v>18.262141313140443</v>
      </c>
      <c r="X39" s="31">
        <f>100*((((W39/100)-((W39/100)-0.03574)*$E$25)-0.03574-0.00619)/0.344)</f>
        <v>31.93206871331672</v>
      </c>
      <c r="Y39">
        <v>0</v>
      </c>
      <c r="Z39" s="31">
        <f>X39+Y39</f>
        <v>31.93206871331672</v>
      </c>
      <c r="AA39" s="31">
        <f>100*($E$21*$E$23+($E$22*(Z39/100))/(1-$E$25))</f>
        <v>26.352204086063331</v>
      </c>
      <c r="AB39" s="32">
        <f>AA39/U39</f>
        <v>9.2654528417819126E-2</v>
      </c>
      <c r="AC39" s="30">
        <f>ROUND($E$12/(1-AB39),0)</f>
        <v>194145</v>
      </c>
      <c r="AD39" t="str">
        <f>IF(OR(OR(AC39=AC33,AC39=(AC33+1)),AC39=(AC25-1)),"yes","not yet")</f>
        <v>not yet</v>
      </c>
      <c r="AE39" s="31">
        <f>100*(1-AB39)</f>
        <v>90.734547158218092</v>
      </c>
      <c r="AI39" s="31">
        <f>HLOOKUP($AI$38,$AI$32:$AQ$36,$E$16+1)</f>
        <v>283.62841086747454</v>
      </c>
    </row>
    <row r="40" spans="5:42">
      <c r="U40" s="31">
        <f>100*(+AC34/$E$13)</f>
        <v>283.94395920922324</v>
      </c>
      <c r="V40" s="35">
        <f>EXP(5.70827-(0.68367*LN(+U40)))</f>
        <v>6.3367796785781509</v>
      </c>
      <c r="W40" s="32">
        <f>(+V40*U40)/100</f>
        <v>17.992903105720291</v>
      </c>
      <c r="X40" s="31">
        <f>100*((((W40/100)-((W40/100)-0.03574)*$E$25)-0.03574-0.00619)/0.344)</f>
        <v>31.31376003929951</v>
      </c>
      <c r="Y40">
        <v>0</v>
      </c>
      <c r="Z40" s="31">
        <f>X40+Y40</f>
        <v>31.31376003929951</v>
      </c>
      <c r="AA40" s="31">
        <f>100*($E$21*$E$23+($E$22*(Z40/100))/(1-$E$25))</f>
        <v>25.882602561493297</v>
      </c>
      <c r="AB40" s="32">
        <f>AA40/U40</f>
        <v>9.1153911615431765E-2</v>
      </c>
      <c r="AC40" s="30">
        <f>ROUND($E$12/(1-AB40),0)</f>
        <v>193824</v>
      </c>
      <c r="AD40" t="str">
        <f>IF(OR(OR(AC40=AC34,AC40=(AC34+1)),AC40=(AC34-1)),"yes","not yet")</f>
        <v>not yet</v>
      </c>
      <c r="AE40" s="31">
        <f>100*(1-AB40)</f>
        <v>90.884608838456828</v>
      </c>
    </row>
    <row r="41" spans="5:42">
      <c r="U41" s="31">
        <f>100*(+AC35/$E$13)</f>
        <v>283.62789520313669</v>
      </c>
      <c r="V41" s="35">
        <f>EXP(5.6985-(0.68367*LN(U41)))</f>
        <v>6.2799507219217778</v>
      </c>
      <c r="W41" s="32">
        <f>(+V41*U41)/100</f>
        <v>17.811692052380927</v>
      </c>
      <c r="X41" s="31">
        <f>100*((((W41/100)-((W41/100)-0.03574)*$E$25)-0.03574-0.00619)/0.344)</f>
        <v>30.897606748200385</v>
      </c>
      <c r="Y41">
        <v>0</v>
      </c>
      <c r="Z41" s="31">
        <f>X41+Y41</f>
        <v>30.897606748200385</v>
      </c>
      <c r="AA41" s="31">
        <f>100*($E$21*$E$23+($E$22*(Z41/100))/(1-$E$25))</f>
        <v>25.566536770785103</v>
      </c>
      <c r="AB41" s="32">
        <f>AA41/U41</f>
        <v>9.0141122235082458E-2</v>
      </c>
      <c r="AC41" s="30">
        <f>ROUND($E$12/(1-AB41),0)</f>
        <v>193609</v>
      </c>
      <c r="AD41" t="str">
        <f>IF(OR(OR(AC41=AC35,AC41=(AC35+1)),AC41=(AC35-1)),"yes","not yet")</f>
        <v>not yet</v>
      </c>
      <c r="AE41" s="31">
        <f>100*(1-AB41)</f>
        <v>90.985887776491765</v>
      </c>
      <c r="AI41" t="str">
        <f>HLOOKUP(1,$AI$17:$AQ$21,$E$16+1)</f>
        <v>not yet</v>
      </c>
      <c r="AJ41" t="str">
        <f>HLOOKUP(2,$AI$17:$AQ$21,$E$16+1)</f>
        <v>not yet</v>
      </c>
      <c r="AK41" t="str">
        <f>HLOOKUP(3,$AI$17:$AQ$21,$E$16+1)</f>
        <v>not yet</v>
      </c>
      <c r="AL41" t="str">
        <f>HLOOKUP(4,$AI$17:$AQ$21,$E$16+1)</f>
        <v>not yet</v>
      </c>
      <c r="AM41" t="str">
        <f>HLOOKUP(5,$AI$17:$AQ$21,$E$16+1)</f>
        <v>not yet</v>
      </c>
      <c r="AN41">
        <f>HLOOKUP(7,$AI$17:$AQ$21,$E$16+1)</f>
        <v>193609</v>
      </c>
      <c r="AO41">
        <f>HLOOKUP(8,$AI$17:$AQ$21,$E$16+1)</f>
        <v>193609</v>
      </c>
      <c r="AP41">
        <f>HLOOKUP(9,$AI$17:$AQ$21,$E$16+1)</f>
        <v>193609</v>
      </c>
    </row>
    <row r="42" spans="5:42">
      <c r="U42" s="31">
        <f>100*(+AC36/$E$13)</f>
        <v>283.42583100621692</v>
      </c>
      <c r="V42" s="35">
        <f>EXP(5.6922-(0.68367*LN(U42)))</f>
        <v>6.2435527556807644</v>
      </c>
      <c r="W42" s="32">
        <f>(+V42*U42)/100</f>
        <v>17.695841282099764</v>
      </c>
      <c r="X42" s="31">
        <f>100*((((W42/100)-((W42/100)-0.03574)*$E$25)-0.03574-0.00619)/0.344)</f>
        <v>30.631554107147718</v>
      </c>
      <c r="Y42">
        <v>0</v>
      </c>
      <c r="Z42" s="31">
        <f>X42+Y42</f>
        <v>30.631554107147718</v>
      </c>
      <c r="AA42" s="31">
        <f>100*($E$21*$E$23+($E$22*(Z42/100))/(1-$E$25))</f>
        <v>25.364471473783073</v>
      </c>
      <c r="AB42" s="32">
        <f>AA42/U42</f>
        <v>8.9492448107973285E-2</v>
      </c>
      <c r="AC42" s="30">
        <f>ROUND($E$12/(1-AB42),0)</f>
        <v>193471</v>
      </c>
      <c r="AD42" t="str">
        <f>IF(OR(OR(AC42=AC36,AC42=(AC36+1)),AC42=(AC36-1)),"yes","not yet")</f>
        <v>not yet</v>
      </c>
      <c r="AE42" s="31">
        <f>100*(1-AB42)</f>
        <v>91.050755189202675</v>
      </c>
      <c r="AH42">
        <v>1</v>
      </c>
      <c r="AI42" s="30">
        <f>AC9</f>
        <v>192669.33269491367</v>
      </c>
      <c r="AJ42" s="30">
        <f>AC15</f>
        <v>194238.66974973941</v>
      </c>
      <c r="AK42" s="30">
        <f>AC21</f>
        <v>194139.08544054074</v>
      </c>
      <c r="AL42" s="30">
        <f>AC27</f>
        <v>194145.36394092749</v>
      </c>
      <c r="AM42" s="30">
        <f>AC33</f>
        <v>194144.96793780391</v>
      </c>
      <c r="AN42" s="30">
        <f>AB45</f>
        <v>9.2654518966946084E-2</v>
      </c>
      <c r="AO42" s="30">
        <f>AB51</f>
        <v>9.2654518966946084E-2</v>
      </c>
      <c r="AP42" s="30">
        <f>AB57</f>
        <v>9.2654518966946084E-2</v>
      </c>
    </row>
    <row r="43" spans="5:42">
      <c r="Z43" s="31"/>
      <c r="AH43">
        <v>2</v>
      </c>
      <c r="AI43" s="30">
        <f>AC10</f>
        <v>192361.73727884967</v>
      </c>
      <c r="AJ43" s="30">
        <f>AC16</f>
        <v>193915.45233810216</v>
      </c>
      <c r="AK43" s="30">
        <f>AC22</f>
        <v>193818.80914229079</v>
      </c>
      <c r="AL43" s="30">
        <f>AC28</f>
        <v>193824.78209182204</v>
      </c>
      <c r="AM43" s="30">
        <f>AC34</f>
        <v>193824.41279218547</v>
      </c>
      <c r="AN43" s="30">
        <f>AB46</f>
        <v>9.1154031287855167E-2</v>
      </c>
      <c r="AO43" s="30">
        <f>AB52</f>
        <v>9.1154031287855167E-2</v>
      </c>
      <c r="AP43" s="30">
        <f>AB58</f>
        <v>9.1154031287855167E-2</v>
      </c>
    </row>
    <row r="44" spans="5:42">
      <c r="U44" s="16" t="s">
        <v>186</v>
      </c>
      <c r="V44" s="2" t="s">
        <v>133</v>
      </c>
      <c r="W44" s="2" t="s">
        <v>134</v>
      </c>
      <c r="X44" s="2" t="s">
        <v>135</v>
      </c>
      <c r="Z44" s="31"/>
      <c r="AH44">
        <v>3</v>
      </c>
      <c r="AI44" s="30">
        <f>AC11</f>
        <v>192155.0887621697</v>
      </c>
      <c r="AJ44" s="30">
        <f>AC17</f>
        <v>193697.90557865714</v>
      </c>
      <c r="AK44" s="30">
        <f>AC23</f>
        <v>193603.24343292383</v>
      </c>
      <c r="AL44" s="30">
        <f>AC29</f>
        <v>193609.01475301848</v>
      </c>
      <c r="AM44" s="30">
        <f>AC35</f>
        <v>193608.66275279361</v>
      </c>
      <c r="AN44" s="30">
        <f>AB47</f>
        <v>9.0141025573229977E-2</v>
      </c>
      <c r="AO44" s="30">
        <f>AB53</f>
        <v>9.0141025573229977E-2</v>
      </c>
      <c r="AP44" s="30">
        <f>AB59</f>
        <v>9.0141025573229977E-2</v>
      </c>
    </row>
    <row r="45" spans="5:42">
      <c r="U45" s="31">
        <f>100*(+AC39/$E$13)</f>
        <v>284.4136049042487</v>
      </c>
      <c r="V45" s="35">
        <f>EXP(5.7226-(0.68367*LN(+U45)))</f>
        <v>6.4209805551715275</v>
      </c>
      <c r="W45" s="32">
        <f>(+V45*U45)/100</f>
        <v>18.262142267164183</v>
      </c>
      <c r="X45" s="31">
        <f>100*((((W45/100)-((W45/100)-0.03574)*$E$25)-0.03574-0.00619)/0.344)</f>
        <v>31.932070904243325</v>
      </c>
      <c r="Y45">
        <v>0</v>
      </c>
      <c r="Z45" s="31">
        <f>X45+Y45</f>
        <v>31.932070904243325</v>
      </c>
      <c r="AA45" s="31">
        <f>100*($E$21*$E$23+($E$22*(Z45/100))/(1-$E$25))</f>
        <v>26.352205750058221</v>
      </c>
      <c r="AB45" s="32">
        <f>AA45/U45</f>
        <v>9.2654518966946084E-2</v>
      </c>
      <c r="AC45" s="30">
        <f>ROUND($E$12/(1-AB45),0)</f>
        <v>194145</v>
      </c>
      <c r="AD45" t="str">
        <f>IF(OR(OR(AC45=AC39,AC45=(AC39+1)),AC45=(AC31-1)),"yes","not yet")</f>
        <v>yes</v>
      </c>
      <c r="AE45" s="31">
        <f>100*(1-AB45)</f>
        <v>90.734548103305386</v>
      </c>
      <c r="AH45">
        <v>4</v>
      </c>
      <c r="AI45" s="30">
        <f>AC12</f>
        <v>192023.13475683631</v>
      </c>
      <c r="AJ45" s="30">
        <f>AC18</f>
        <v>193558.82324866703</v>
      </c>
      <c r="AK45" s="30">
        <f>AC24</f>
        <v>193465.42777547927</v>
      </c>
      <c r="AL45" s="30">
        <f>AC30</f>
        <v>193471.07191779983</v>
      </c>
      <c r="AM45" s="30">
        <f>AC36</f>
        <v>193470.73069597728</v>
      </c>
      <c r="AN45" s="30">
        <f>AB48</f>
        <v>8.9492371488349889E-2</v>
      </c>
      <c r="AO45" s="30">
        <f>AB54</f>
        <v>8.9492371488349889E-2</v>
      </c>
      <c r="AP45" s="30">
        <f>AB60</f>
        <v>8.9492371488349889E-2</v>
      </c>
    </row>
    <row r="46" spans="5:42">
      <c r="U46" s="31">
        <f>100*(+AC40/$E$13)</f>
        <v>283.94335448742487</v>
      </c>
      <c r="V46" s="35">
        <f>EXP(5.70827-(0.68367*LN(+U46)))</f>
        <v>6.3367889051188033</v>
      </c>
      <c r="W46" s="32">
        <f>(+V46*U46)/100</f>
        <v>17.992890983981294</v>
      </c>
      <c r="X46" s="31">
        <f>100*((((W46/100)-((W46/100)-0.03574)*$E$25)-0.03574-0.00619)/0.344)</f>
        <v>31.313732201584948</v>
      </c>
      <c r="Y46">
        <v>0</v>
      </c>
      <c r="Z46" s="31">
        <f>X46+Y46</f>
        <v>31.313732201584948</v>
      </c>
      <c r="AA46" s="31">
        <f>100*($E$21*$E$23+($E$22*(Z46/100))/(1-$E$25))</f>
        <v>25.882581418925277</v>
      </c>
      <c r="AB46" s="32">
        <f>AA46/U46</f>
        <v>9.1154031287855167E-2</v>
      </c>
      <c r="AC46" s="30">
        <f>ROUND($E$12/(1-AB46),0)</f>
        <v>193824</v>
      </c>
      <c r="AD46" t="str">
        <f>IF(OR(OR(AC46=AC40,AC46=(AC40+1)),AC46=(AC40-1)),"yes","not yet")</f>
        <v>yes</v>
      </c>
      <c r="AE46" s="31">
        <f>100*(1-AB46)</f>
        <v>90.884596871214484</v>
      </c>
    </row>
    <row r="47" spans="5:42">
      <c r="U47" s="31">
        <f>100*(+AC41/$E$13)</f>
        <v>283.62838925497272</v>
      </c>
      <c r="V47" s="35">
        <f>EXP(5.6985-(0.68367*LN(U47)))</f>
        <v>6.2799432432289173</v>
      </c>
      <c r="W47" s="32">
        <f>(+V47*U47)/100</f>
        <v>17.811701866896673</v>
      </c>
      <c r="X47" s="31">
        <f>100*((((W47/100)-((W47/100)-0.03574)*$E$25)-0.03574-0.00619)/0.344)</f>
        <v>30.897629287349922</v>
      </c>
      <c r="Y47">
        <v>0</v>
      </c>
      <c r="Z47" s="31">
        <f>X47+Y47</f>
        <v>30.897629287349922</v>
      </c>
      <c r="AA47" s="31">
        <f>100*($E$21*$E$23+($E$22*(Z47/100))/(1-$E$25))</f>
        <v>25.566553889126521</v>
      </c>
      <c r="AB47" s="32">
        <f>AA47/U47</f>
        <v>9.0141025573229977E-2</v>
      </c>
      <c r="AC47" s="30">
        <f>ROUND($E$12/(1-AB47),0)</f>
        <v>193609</v>
      </c>
      <c r="AD47" t="str">
        <f>IF(OR(OR(AC47=AC41,AC47=(AC41+1)),AC47=(AC41-1)),"yes","not yet")</f>
        <v>yes</v>
      </c>
      <c r="AE47" s="31">
        <f>100*(1-AB47)</f>
        <v>90.985897442677</v>
      </c>
      <c r="AI47" s="16" t="s">
        <v>183</v>
      </c>
    </row>
    <row r="48" spans="5:42">
      <c r="U48" s="31">
        <f>100*(+AC42/$E$13)</f>
        <v>283.42622552437558</v>
      </c>
      <c r="V48" s="35">
        <f>EXP(5.6922-(0.68367*LN(U48)))</f>
        <v>6.24354681405398</v>
      </c>
      <c r="W48" s="32">
        <f>(+V48*U48)/100</f>
        <v>17.695849073920598</v>
      </c>
      <c r="X48" s="31">
        <f>100*((((W48/100)-((W48/100)-0.03574)*$E$25)-0.03574-0.00619)/0.344)</f>
        <v>30.631572001154872</v>
      </c>
      <c r="Y48">
        <v>0</v>
      </c>
      <c r="Z48" s="31">
        <f>X48+Y48</f>
        <v>30.631572001154872</v>
      </c>
      <c r="AA48" s="31">
        <f>100*($E$21*$E$23+($E$22*(Z48/100))/(1-$E$25))</f>
        <v>25.364485064168257</v>
      </c>
      <c r="AB48" s="32">
        <f>AA48/U48</f>
        <v>8.9492371488349889E-2</v>
      </c>
      <c r="AC48" s="30">
        <f>ROUND($E$12/(1-AB48),0)</f>
        <v>193471</v>
      </c>
      <c r="AD48" t="str">
        <f>IF(OR(OR(AC48=AC42,AC48=(AC42+1)),AC48=(AC42-1)),"yes","not yet")</f>
        <v>yes</v>
      </c>
      <c r="AE48" s="31">
        <f>100*(1-AB48)</f>
        <v>91.050762851165018</v>
      </c>
      <c r="AI48" s="30">
        <f>HLOOKUP($AI$38,$AI$41:$AQ$45,$E$16+1)</f>
        <v>193608.66275279361</v>
      </c>
    </row>
    <row r="49" spans="4:31">
      <c r="Z49" s="31"/>
    </row>
    <row r="50" spans="4:31">
      <c r="D50" s="30"/>
      <c r="E50" s="30"/>
      <c r="F50" s="30"/>
      <c r="U50" s="16" t="s">
        <v>187</v>
      </c>
      <c r="V50" s="2" t="s">
        <v>133</v>
      </c>
      <c r="W50" s="2" t="s">
        <v>134</v>
      </c>
      <c r="X50" s="2" t="s">
        <v>135</v>
      </c>
      <c r="Z50" s="31"/>
    </row>
    <row r="51" spans="4:31">
      <c r="D51" s="30"/>
      <c r="E51" s="30"/>
      <c r="F51" s="30"/>
      <c r="U51" s="31">
        <f>100*(+AC45/$E$13)</f>
        <v>284.4136049042487</v>
      </c>
      <c r="V51" s="35">
        <f>EXP(5.7226-(0.68367*LN(+U51)))</f>
        <v>6.4209805551715275</v>
      </c>
      <c r="W51" s="32">
        <f>(+V51*U51)/100</f>
        <v>18.262142267164183</v>
      </c>
      <c r="X51" s="31">
        <f>100*((((W51/100)-((W51/100)-0.03574)*$E$25)-0.03574-0.00619)/0.344)</f>
        <v>31.932070904243325</v>
      </c>
      <c r="Y51">
        <v>0</v>
      </c>
      <c r="Z51" s="31">
        <f>X51+Y51</f>
        <v>31.932070904243325</v>
      </c>
      <c r="AA51" s="31">
        <f>100*($E$21*$E$23+($E$22*(Z51/100))/(1-$E$25))</f>
        <v>26.352205750058221</v>
      </c>
      <c r="AB51" s="32">
        <f>AA51/U51</f>
        <v>9.2654518966946084E-2</v>
      </c>
      <c r="AC51" s="30">
        <f>ROUND($E$12/(1-AB51),0)</f>
        <v>194145</v>
      </c>
      <c r="AD51" t="str">
        <f>IF(OR(OR(AC51=AC45,AC51=(AC45+1)),AC51=(AC37-1)),"yes","not yet")</f>
        <v>yes</v>
      </c>
      <c r="AE51" s="31">
        <f>100*(1-AB51)</f>
        <v>90.734548103305386</v>
      </c>
    </row>
    <row r="52" spans="4:31">
      <c r="U52" s="31">
        <f>100*(+AC46/$E$13)</f>
        <v>283.94335448742487</v>
      </c>
      <c r="V52" s="35">
        <f>EXP(5.70827-(0.68367*LN(+U52)))</f>
        <v>6.3367889051188033</v>
      </c>
      <c r="W52" s="32">
        <f>(+V52*U52)/100</f>
        <v>17.992890983981294</v>
      </c>
      <c r="X52" s="31">
        <f>100*((((W52/100)-((W52/100)-0.03574)*$E$25)-0.03574-0.00619)/0.344)</f>
        <v>31.313732201584948</v>
      </c>
      <c r="Y52">
        <v>0</v>
      </c>
      <c r="Z52" s="31">
        <f>X52+Y52</f>
        <v>31.313732201584948</v>
      </c>
      <c r="AA52" s="31">
        <f>100*($E$21*$E$23+($E$22*(Z52/100))/(1-$E$25))</f>
        <v>25.882581418925277</v>
      </c>
      <c r="AB52" s="32">
        <f>AA52/U52</f>
        <v>9.1154031287855167E-2</v>
      </c>
      <c r="AC52" s="30">
        <f>ROUND($E$12/(1-AB52),0)</f>
        <v>193824</v>
      </c>
      <c r="AD52" t="str">
        <f>IF(OR(OR(AC52=AC46,AC52=(AC46+1)),AC52=(AC46-1)),"yes","not yet")</f>
        <v>yes</v>
      </c>
      <c r="AE52" s="31">
        <f>100*(1-AB52)</f>
        <v>90.884596871214484</v>
      </c>
    </row>
    <row r="53" spans="4:31">
      <c r="U53" s="31">
        <f>100*(+AC47/$E$13)</f>
        <v>283.62838925497272</v>
      </c>
      <c r="V53" s="35">
        <f>EXP(5.6985-(0.68367*LN(U53)))</f>
        <v>6.2799432432289173</v>
      </c>
      <c r="W53" s="32">
        <f>(+V53*U53)/100</f>
        <v>17.811701866896673</v>
      </c>
      <c r="X53" s="31">
        <f>100*((((W53/100)-((W53/100)-0.03574)*$E$25)-0.03574-0.00619)/0.344)</f>
        <v>30.897629287349922</v>
      </c>
      <c r="Y53">
        <v>0</v>
      </c>
      <c r="Z53" s="31">
        <f>X53+Y53</f>
        <v>30.897629287349922</v>
      </c>
      <c r="AA53" s="31">
        <f>100*($E$21*$E$23+($E$22*(Z53/100))/(1-$E$25))</f>
        <v>25.566553889126521</v>
      </c>
      <c r="AB53" s="32">
        <f>AA53/U53</f>
        <v>9.0141025573229977E-2</v>
      </c>
      <c r="AC53" s="30">
        <f>ROUND($E$12/(1-AB53),0)</f>
        <v>193609</v>
      </c>
      <c r="AD53" t="str">
        <f>IF(OR(OR(AC53=AC47,AC53=(AC47+1)),AC53=(AC47-1)),"yes","not yet")</f>
        <v>yes</v>
      </c>
      <c r="AE53" s="31">
        <f>100*(1-AB53)</f>
        <v>90.985897442677</v>
      </c>
    </row>
    <row r="54" spans="4:31">
      <c r="U54" s="31">
        <f>100*(+AC48/$E$13)</f>
        <v>283.42622552437558</v>
      </c>
      <c r="V54" s="35">
        <f>EXP(5.6922-(0.68367*LN(U54)))</f>
        <v>6.24354681405398</v>
      </c>
      <c r="W54" s="32">
        <f>(+V54*U54)/100</f>
        <v>17.695849073920598</v>
      </c>
      <c r="X54" s="31">
        <f>100*((((W54/100)-((W54/100)-0.03574)*$E$25)-0.03574-0.00619)/0.344)</f>
        <v>30.631572001154872</v>
      </c>
      <c r="Y54">
        <v>0</v>
      </c>
      <c r="Z54" s="31">
        <f>X54+Y54</f>
        <v>30.631572001154872</v>
      </c>
      <c r="AA54" s="31">
        <f>100*($E$21*$E$23+($E$22*(Z54/100))/(1-$E$25))</f>
        <v>25.364485064168257</v>
      </c>
      <c r="AB54" s="32">
        <f>AA54/U54</f>
        <v>8.9492371488349889E-2</v>
      </c>
      <c r="AC54" s="30">
        <f>ROUND($E$12/(1-AB54),0)</f>
        <v>193471</v>
      </c>
      <c r="AD54" t="str">
        <f>IF(OR(OR(AC54=AC48,AC54=(AC48+1)),AC54=(AC48-1)),"yes","not yet")</f>
        <v>yes</v>
      </c>
      <c r="AE54" s="31">
        <f>100*(1-AB54)</f>
        <v>91.050762851165018</v>
      </c>
    </row>
    <row r="55" spans="4:31">
      <c r="Z55" s="31"/>
    </row>
    <row r="56" spans="4:31">
      <c r="U56" s="16" t="s">
        <v>188</v>
      </c>
      <c r="V56" s="2" t="s">
        <v>133</v>
      </c>
      <c r="W56" s="2" t="s">
        <v>134</v>
      </c>
      <c r="X56" s="2" t="s">
        <v>135</v>
      </c>
      <c r="Z56" s="31"/>
    </row>
    <row r="57" spans="4:31">
      <c r="U57" s="31">
        <f>100*(+AC51/$E$13)</f>
        <v>284.4136049042487</v>
      </c>
      <c r="V57" s="35">
        <f>EXP(5.7226-(0.68367*LN(+U57)))</f>
        <v>6.4209805551715275</v>
      </c>
      <c r="W57" s="32">
        <f>(+V57*U57)/100</f>
        <v>18.262142267164183</v>
      </c>
      <c r="X57" s="31">
        <f>100*((((W57/100)-((W57/100)-0.03574)*$E$25)-0.03574-0.00619)/0.344)</f>
        <v>31.932070904243325</v>
      </c>
      <c r="Y57">
        <v>0</v>
      </c>
      <c r="Z57" s="31">
        <f>X57+Y57</f>
        <v>31.932070904243325</v>
      </c>
      <c r="AA57" s="31">
        <f>100*($E$21*$E$23+($E$22*(Z57/100))/(1-$E$25))</f>
        <v>26.352205750058221</v>
      </c>
      <c r="AB57" s="32">
        <f>AA57/U57</f>
        <v>9.2654518966946084E-2</v>
      </c>
      <c r="AC57" s="30">
        <f>ROUND($E$12/(1-AB57),0)</f>
        <v>194145</v>
      </c>
      <c r="AD57" t="str">
        <f>IF(OR(OR(AC57=AC51,AC57=(AC51+1)),AC57=(AC43-1)),"yes","not yet")</f>
        <v>yes</v>
      </c>
      <c r="AE57" s="31">
        <f>100*(1-AB57)</f>
        <v>90.734548103305386</v>
      </c>
    </row>
    <row r="58" spans="4:31">
      <c r="U58" s="31">
        <f>100*(+AC52/$E$13)</f>
        <v>283.94335448742487</v>
      </c>
      <c r="V58" s="35">
        <f>EXP(5.70827-(0.68367*LN(+U58)))</f>
        <v>6.3367889051188033</v>
      </c>
      <c r="W58" s="32">
        <f>(+V58*U58)/100</f>
        <v>17.992890983981294</v>
      </c>
      <c r="X58" s="31">
        <f>100*((((W58/100)-((W58/100)-0.03574)*$E$25)-0.03574-0.00619)/0.344)</f>
        <v>31.313732201584948</v>
      </c>
      <c r="Y58">
        <v>0</v>
      </c>
      <c r="Z58" s="31">
        <f>X58+Y58</f>
        <v>31.313732201584948</v>
      </c>
      <c r="AA58" s="31">
        <f>100*($E$21*$E$23+($E$22*(Z58/100))/(1-$E$25))</f>
        <v>25.882581418925277</v>
      </c>
      <c r="AB58" s="32">
        <f>AA58/U58</f>
        <v>9.1154031287855167E-2</v>
      </c>
      <c r="AC58" s="30">
        <f>ROUND($E$12/(1-AB58),0)</f>
        <v>193824</v>
      </c>
      <c r="AD58" t="str">
        <f>IF(OR(OR(AC58=AC52,AC58=(AC52+1)),AC58=(AC52-1)),"yes","not yet")</f>
        <v>yes</v>
      </c>
      <c r="AE58" s="31">
        <f>100*(1-AB58)</f>
        <v>90.884596871214484</v>
      </c>
    </row>
    <row r="59" spans="4:31">
      <c r="U59" s="31">
        <f>100*(+AC53/$E$13)</f>
        <v>283.62838925497272</v>
      </c>
      <c r="V59" s="35">
        <f>EXP(5.6985-(0.68367*LN(U59)))</f>
        <v>6.2799432432289173</v>
      </c>
      <c r="W59" s="32">
        <f>(+V59*U59)/100</f>
        <v>17.811701866896673</v>
      </c>
      <c r="X59" s="31">
        <f>100*((((W59/100)-((W59/100)-0.03574)*$E$25)-0.03574-0.00619)/0.344)</f>
        <v>30.897629287349922</v>
      </c>
      <c r="Y59">
        <v>0</v>
      </c>
      <c r="Z59" s="31">
        <f>X59+Y59</f>
        <v>30.897629287349922</v>
      </c>
      <c r="AA59" s="31">
        <f>100*($E$21*$E$23+($E$22*(Z59/100))/(1-$E$25))</f>
        <v>25.566553889126521</v>
      </c>
      <c r="AB59" s="32">
        <f>AA59/U59</f>
        <v>9.0141025573229977E-2</v>
      </c>
      <c r="AC59" s="30">
        <f>ROUND($E$12/(1-AB59),0)</f>
        <v>193609</v>
      </c>
      <c r="AD59" t="str">
        <f>IF(OR(OR(AC59=AC53,AC59=(AC53+1)),AC59=(AC53-1)),"yes","not yet")</f>
        <v>yes</v>
      </c>
      <c r="AE59" s="31">
        <f>100*(1-AB59)</f>
        <v>90.985897442677</v>
      </c>
    </row>
    <row r="60" spans="4:31">
      <c r="U60" s="31">
        <f>100*(+AC54/$E$13)</f>
        <v>283.42622552437558</v>
      </c>
      <c r="V60" s="35">
        <f>EXP(5.6922-(0.68367*LN(U60)))</f>
        <v>6.24354681405398</v>
      </c>
      <c r="W60" s="32">
        <f>(+V60*U60)/100</f>
        <v>17.695849073920598</v>
      </c>
      <c r="X60" s="31">
        <f>100*((((W60/100)-((W60/100)-0.03574)*$E$25)-0.03574-0.00619)/0.344)</f>
        <v>30.631572001154872</v>
      </c>
      <c r="Y60">
        <v>0</v>
      </c>
      <c r="Z60" s="31">
        <f>X60+Y60</f>
        <v>30.631572001154872</v>
      </c>
      <c r="AA60" s="31">
        <f>100*($E$21*$E$23+($E$22*(Z60/100))/(1-$E$25))</f>
        <v>25.364485064168257</v>
      </c>
      <c r="AB60" s="32">
        <f>AA60/U60</f>
        <v>8.9492371488349889E-2</v>
      </c>
      <c r="AC60" s="30">
        <f>ROUND($E$12/(1-AB60),0)</f>
        <v>193471</v>
      </c>
      <c r="AD60" t="str">
        <f>IF(OR(OR(AC60=AC54,AC60=(AC54+1)),AC60=(AC54-1)),"yes","not yet")</f>
        <v>yes</v>
      </c>
      <c r="AE60" s="31">
        <f>100*(1-AB60)</f>
        <v>91.050762851165018</v>
      </c>
    </row>
    <row r="61" spans="4:31">
      <c r="Z61" s="31"/>
    </row>
    <row r="63" spans="4:31">
      <c r="U63" s="31"/>
      <c r="V63" s="35"/>
      <c r="W63" s="32"/>
      <c r="X63" s="31"/>
      <c r="AA63" s="31"/>
      <c r="AB63" s="32"/>
      <c r="AC63" s="30"/>
    </row>
    <row r="64" spans="4:31">
      <c r="U64" s="31"/>
      <c r="V64" s="35"/>
      <c r="W64" s="32"/>
      <c r="X64" s="31"/>
      <c r="AA64" s="31"/>
      <c r="AB64" s="32"/>
      <c r="AC64" s="30"/>
    </row>
    <row r="65" spans="20:29">
      <c r="U65" s="31"/>
      <c r="V65" s="35"/>
      <c r="W65" s="32"/>
      <c r="X65" s="31"/>
      <c r="AA65" s="31"/>
      <c r="AB65" s="32"/>
      <c r="AC65" s="30"/>
    </row>
    <row r="66" spans="20:29">
      <c r="U66" s="31"/>
      <c r="V66" s="35"/>
      <c r="W66" s="32"/>
      <c r="X66" s="31"/>
      <c r="AA66" s="31"/>
      <c r="AB66" s="32"/>
      <c r="AC66" s="30"/>
    </row>
    <row r="69" spans="20:29">
      <c r="U69" s="31"/>
      <c r="V69" s="35"/>
      <c r="W69" s="32"/>
      <c r="X69" s="31"/>
      <c r="AA69" s="31"/>
      <c r="AB69" s="32"/>
      <c r="AC69" s="30"/>
    </row>
    <row r="70" spans="20:29">
      <c r="U70" s="31"/>
      <c r="V70" s="35"/>
      <c r="W70" s="32"/>
      <c r="X70" s="31"/>
      <c r="AA70" s="31"/>
      <c r="AB70" s="32"/>
      <c r="AC70" s="30"/>
    </row>
    <row r="71" spans="20:29">
      <c r="T71" s="31"/>
      <c r="U71" s="35"/>
      <c r="V71" s="32"/>
      <c r="W71" s="31"/>
      <c r="Z71" s="31"/>
      <c r="AA71" s="32"/>
      <c r="AB71" s="30"/>
    </row>
    <row r="72" spans="20:29">
      <c r="T72" s="31"/>
      <c r="U72" s="35"/>
      <c r="V72" s="32"/>
      <c r="W72" s="31"/>
      <c r="Z72" s="31"/>
      <c r="AA72" s="32"/>
      <c r="AB72" s="30"/>
    </row>
    <row r="75" spans="20:29">
      <c r="T75" s="31"/>
      <c r="U75" s="35"/>
      <c r="V75" s="32"/>
      <c r="W75" s="31"/>
      <c r="Z75" s="31"/>
      <c r="AA75" s="32"/>
      <c r="AB75" s="30"/>
    </row>
    <row r="76" spans="20:29">
      <c r="T76" s="31"/>
      <c r="U76" s="35"/>
      <c r="V76" s="32"/>
      <c r="W76" s="31"/>
      <c r="Z76" s="31"/>
      <c r="AA76" s="32"/>
      <c r="AB76" s="30"/>
    </row>
    <row r="77" spans="20:29">
      <c r="T77" s="31"/>
      <c r="U77" s="35"/>
      <c r="V77" s="32"/>
      <c r="W77" s="31"/>
      <c r="Z77" s="31"/>
      <c r="AA77" s="32"/>
      <c r="AB77" s="30"/>
    </row>
    <row r="78" spans="20:29">
      <c r="T78" s="31"/>
      <c r="U78" s="35"/>
      <c r="V78" s="32"/>
      <c r="W78" s="31"/>
      <c r="Z78" s="31"/>
      <c r="AA78" s="32"/>
      <c r="AB78" s="30"/>
    </row>
    <row r="81" spans="20:28">
      <c r="T81" s="31"/>
      <c r="U81" s="35"/>
      <c r="V81" s="32"/>
      <c r="W81" s="31"/>
      <c r="Z81" s="31"/>
      <c r="AA81" s="32"/>
      <c r="AB81" s="30"/>
    </row>
    <row r="82" spans="20:28">
      <c r="T82" s="31"/>
      <c r="U82" s="35"/>
      <c r="V82" s="32"/>
      <c r="W82" s="31"/>
      <c r="Z82" s="31"/>
      <c r="AA82" s="32"/>
      <c r="AB82" s="30"/>
    </row>
    <row r="83" spans="20:28">
      <c r="T83" s="31"/>
      <c r="U83" s="35"/>
      <c r="V83" s="32"/>
      <c r="W83" s="31"/>
      <c r="Z83" s="31"/>
      <c r="AA83" s="32"/>
      <c r="AB83" s="30"/>
    </row>
    <row r="84" spans="20:28">
      <c r="T84" s="31"/>
      <c r="U84" s="35"/>
      <c r="V84" s="32"/>
      <c r="W84" s="31"/>
      <c r="Z84" s="31"/>
      <c r="AA84" s="32"/>
      <c r="AB84" s="30"/>
    </row>
    <row r="87" spans="20:28">
      <c r="T87" s="31"/>
      <c r="U87" s="35"/>
      <c r="V87" s="32"/>
      <c r="W87" s="31"/>
      <c r="Z87" s="31"/>
      <c r="AA87" s="32"/>
      <c r="AB87" s="30"/>
    </row>
    <row r="88" spans="20:28">
      <c r="T88" s="31"/>
      <c r="U88" s="35"/>
      <c r="V88" s="32"/>
      <c r="W88" s="31"/>
      <c r="Z88" s="31"/>
      <c r="AA88" s="32"/>
      <c r="AB88" s="30"/>
    </row>
    <row r="89" spans="20:28">
      <c r="T89" s="31"/>
      <c r="U89" s="35"/>
      <c r="V89" s="32"/>
      <c r="W89" s="31"/>
      <c r="Z89" s="31"/>
      <c r="AA89" s="32"/>
      <c r="AB89" s="30"/>
    </row>
    <row r="90" spans="20:28">
      <c r="T90" s="31"/>
      <c r="U90" s="35"/>
      <c r="V90" s="32"/>
      <c r="W90" s="31"/>
      <c r="Z90" s="31"/>
      <c r="AA90" s="32"/>
      <c r="AB90" s="30"/>
    </row>
    <row r="93" spans="20:28">
      <c r="T93" s="31"/>
      <c r="U93" s="35"/>
      <c r="V93" s="32"/>
      <c r="W93" s="31"/>
      <c r="Z93" s="31"/>
      <c r="AA93" s="32"/>
      <c r="AB93" s="30"/>
    </row>
    <row r="94" spans="20:28">
      <c r="T94" s="31"/>
      <c r="U94" s="35"/>
      <c r="V94" s="32"/>
      <c r="W94" s="31"/>
      <c r="Z94" s="31"/>
      <c r="AA94" s="32"/>
      <c r="AB94" s="30"/>
    </row>
    <row r="95" spans="20:28">
      <c r="T95" s="31"/>
      <c r="U95" s="35"/>
      <c r="V95" s="32"/>
      <c r="W95" s="31"/>
      <c r="Z95" s="31"/>
      <c r="AA95" s="32"/>
      <c r="AB95" s="30"/>
    </row>
    <row r="96" spans="20:28">
      <c r="T96" s="31"/>
      <c r="U96" s="35"/>
      <c r="V96" s="32"/>
      <c r="W96" s="31"/>
      <c r="Z96" s="31"/>
      <c r="AA96" s="32"/>
      <c r="AB96" s="30"/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T113"/>
  <sheetViews>
    <sheetView showGridLines="0" showOutlineSymbols="0" topLeftCell="B1" zoomScale="120" zoomScaleNormal="120" workbookViewId="0">
      <selection activeCell="P41" sqref="P41"/>
    </sheetView>
  </sheetViews>
  <sheetFormatPr defaultColWidth="16.7109375" defaultRowHeight="15"/>
  <cols>
    <col min="1" max="1" width="4.85546875" style="449" customWidth="1"/>
    <col min="2" max="2" width="33.5703125" style="452" bestFit="1" customWidth="1"/>
    <col min="3" max="3" width="21.28515625" style="452" customWidth="1"/>
    <col min="4" max="4" width="21.28515625" style="452" hidden="1" customWidth="1"/>
    <col min="5" max="5" width="7.28515625" style="452" customWidth="1"/>
    <col min="6" max="6" width="5.7109375" style="449" customWidth="1"/>
    <col min="7" max="7" width="8.5703125" style="449" customWidth="1"/>
    <col min="8" max="8" width="15" style="449" customWidth="1"/>
    <col min="9" max="9" width="17.7109375" style="449" customWidth="1"/>
    <col min="10" max="10" width="13.28515625" style="449" customWidth="1"/>
    <col min="11" max="11" width="15.140625" style="449" bestFit="1" customWidth="1"/>
    <col min="12" max="13" width="18.42578125" style="449" customWidth="1"/>
    <col min="14" max="14" width="6.140625" style="449" customWidth="1"/>
    <col min="15" max="15" width="6.28515625" style="452" customWidth="1"/>
    <col min="16" max="16" width="40.42578125" style="452" customWidth="1"/>
    <col min="17" max="17" width="16.7109375" style="451"/>
    <col min="18" max="18" width="13.85546875" style="450" customWidth="1"/>
    <col min="19" max="19" width="16.7109375" style="449"/>
    <col min="20" max="20" width="13.42578125" style="449" customWidth="1"/>
    <col min="21" max="21" width="15.7109375" style="449" customWidth="1"/>
    <col min="22" max="22" width="16.7109375" style="449"/>
    <col min="23" max="24" width="17.7109375" style="449" customWidth="1"/>
    <col min="25" max="25" width="16" style="449" customWidth="1"/>
    <col min="26" max="26" width="16.7109375" style="449"/>
    <col min="27" max="27" width="15.85546875" style="449" customWidth="1"/>
    <col min="28" max="29" width="16.7109375" style="449"/>
    <col min="30" max="30" width="16.42578125" style="449" customWidth="1"/>
    <col min="31" max="31" width="17.28515625" style="449" customWidth="1"/>
    <col min="32" max="32" width="20.7109375" style="449" customWidth="1"/>
    <col min="33" max="33" width="18.140625" style="449" customWidth="1"/>
    <col min="34" max="34" width="16.42578125" style="449" customWidth="1"/>
    <col min="35" max="35" width="16.7109375" style="449"/>
    <col min="36" max="36" width="13.85546875" style="449" customWidth="1"/>
    <col min="37" max="37" width="16.42578125" style="449" customWidth="1"/>
    <col min="38" max="49" width="15.140625" style="449" customWidth="1"/>
    <col min="50" max="16384" width="16.7109375" style="449"/>
  </cols>
  <sheetData>
    <row r="1" spans="1:35" s="606" customFormat="1" ht="15.75" thickBot="1">
      <c r="A1" s="468"/>
      <c r="B1" s="609"/>
      <c r="C1" s="609"/>
      <c r="D1" s="609"/>
      <c r="E1" s="609"/>
      <c r="F1" s="609"/>
      <c r="G1" s="609"/>
      <c r="H1" s="609"/>
      <c r="I1" s="610"/>
      <c r="J1" s="610"/>
      <c r="K1" s="610"/>
      <c r="L1" s="610"/>
      <c r="M1" s="610"/>
      <c r="N1" s="610"/>
      <c r="O1" s="609"/>
      <c r="P1" s="609"/>
      <c r="Q1" s="608"/>
      <c r="R1" s="607"/>
    </row>
    <row r="2" spans="1:35" ht="19.5" thickBot="1">
      <c r="A2" s="468"/>
      <c r="B2" s="778" t="s">
        <v>1270</v>
      </c>
      <c r="C2" s="778"/>
      <c r="D2" s="468"/>
      <c r="E2" s="468"/>
      <c r="F2" s="603" t="s">
        <v>1268</v>
      </c>
      <c r="G2" s="604"/>
      <c r="H2" s="604"/>
      <c r="I2" s="605" t="s">
        <v>1269</v>
      </c>
      <c r="J2" s="604"/>
      <c r="K2" s="604"/>
      <c r="L2" s="604"/>
      <c r="M2" s="603" t="s">
        <v>1268</v>
      </c>
      <c r="O2" s="468"/>
      <c r="P2" s="468"/>
      <c r="R2" s="602" t="s">
        <v>1267</v>
      </c>
      <c r="S2" s="601"/>
      <c r="T2" s="600"/>
      <c r="AF2" s="775" t="s">
        <v>1266</v>
      </c>
      <c r="AG2" s="776"/>
      <c r="AH2" s="776"/>
      <c r="AI2" s="777"/>
    </row>
    <row r="3" spans="1:35" ht="15.75">
      <c r="A3" s="468"/>
      <c r="B3" s="468"/>
      <c r="C3" s="468"/>
      <c r="D3" s="468"/>
      <c r="E3" s="468"/>
      <c r="F3" s="599"/>
      <c r="G3" s="506"/>
      <c r="K3" s="598" t="s">
        <v>1265</v>
      </c>
      <c r="M3" s="598" t="s">
        <v>1264</v>
      </c>
      <c r="O3" s="468"/>
      <c r="P3" s="468"/>
      <c r="R3" s="449"/>
      <c r="T3" s="449" t="s">
        <v>1263</v>
      </c>
      <c r="V3" s="450" t="s">
        <v>1263</v>
      </c>
      <c r="W3" s="450" t="s">
        <v>1263</v>
      </c>
      <c r="X3" s="450" t="s">
        <v>1263</v>
      </c>
      <c r="Y3" s="450" t="s">
        <v>1262</v>
      </c>
      <c r="Z3" s="450" t="s">
        <v>1262</v>
      </c>
      <c r="AA3" s="450" t="s">
        <v>1262</v>
      </c>
      <c r="AB3" s="450" t="s">
        <v>1262</v>
      </c>
      <c r="AC3" s="450" t="s">
        <v>1262</v>
      </c>
      <c r="AD3" s="450" t="s">
        <v>1262</v>
      </c>
      <c r="AE3" s="450" t="s">
        <v>1236</v>
      </c>
      <c r="AF3" s="450" t="s">
        <v>151</v>
      </c>
      <c r="AG3" s="450" t="s">
        <v>1261</v>
      </c>
      <c r="AH3" s="450"/>
    </row>
    <row r="4" spans="1:35" ht="19.5" thickBot="1">
      <c r="A4" s="468"/>
      <c r="B4" s="597" t="s">
        <v>1260</v>
      </c>
      <c r="C4" s="596"/>
      <c r="D4" s="576"/>
      <c r="E4" s="468"/>
      <c r="F4" s="504"/>
      <c r="G4" s="506"/>
      <c r="H4" s="593" t="s">
        <v>1259</v>
      </c>
      <c r="I4" s="593" t="s">
        <v>1258</v>
      </c>
      <c r="J4" s="593" t="s">
        <v>1257</v>
      </c>
      <c r="K4" s="593" t="s">
        <v>1256</v>
      </c>
      <c r="L4" s="593" t="s">
        <v>1255</v>
      </c>
      <c r="M4" s="593" t="s">
        <v>1254</v>
      </c>
      <c r="O4" s="595"/>
      <c r="P4" s="468"/>
      <c r="R4" s="449"/>
      <c r="T4" s="450" t="s">
        <v>1251</v>
      </c>
      <c r="V4" s="450" t="s">
        <v>1253</v>
      </c>
      <c r="W4" s="450" t="s">
        <v>848</v>
      </c>
      <c r="X4" s="450" t="s">
        <v>1172</v>
      </c>
      <c r="Y4" s="450" t="s">
        <v>1252</v>
      </c>
      <c r="Z4" s="450" t="s">
        <v>1252</v>
      </c>
      <c r="AA4" s="450" t="s">
        <v>1252</v>
      </c>
      <c r="AB4" s="450" t="s">
        <v>848</v>
      </c>
      <c r="AC4" s="450" t="s">
        <v>1251</v>
      </c>
      <c r="AD4" s="450" t="s">
        <v>1251</v>
      </c>
      <c r="AE4" s="450" t="s">
        <v>1250</v>
      </c>
      <c r="AF4" s="450" t="s">
        <v>1249</v>
      </c>
      <c r="AG4" s="450" t="s">
        <v>1248</v>
      </c>
      <c r="AH4" s="450" t="s">
        <v>1247</v>
      </c>
      <c r="AI4" s="450" t="s">
        <v>113</v>
      </c>
    </row>
    <row r="5" spans="1:35" ht="15.75">
      <c r="A5" s="468"/>
      <c r="B5" s="578" t="s">
        <v>1231</v>
      </c>
      <c r="C5" s="767">
        <f>+'Staff Pro Forma'!T21</f>
        <v>157229.64413094337</v>
      </c>
      <c r="D5" s="576"/>
      <c r="E5" s="468"/>
      <c r="F5" s="594" t="s">
        <v>1246</v>
      </c>
      <c r="G5" s="510"/>
      <c r="H5" s="510"/>
      <c r="I5" s="593" t="s">
        <v>1245</v>
      </c>
      <c r="J5" s="593" t="s">
        <v>151</v>
      </c>
      <c r="K5" s="592" t="s">
        <v>88</v>
      </c>
      <c r="L5" s="592" t="s">
        <v>1244</v>
      </c>
      <c r="M5" s="592" t="s">
        <v>151</v>
      </c>
      <c r="O5" s="572"/>
      <c r="P5" s="468"/>
      <c r="R5" s="591"/>
      <c r="T5" s="450" t="s">
        <v>1238</v>
      </c>
      <c r="U5" s="450" t="s">
        <v>1243</v>
      </c>
      <c r="V5" s="450" t="s">
        <v>1242</v>
      </c>
      <c r="W5" s="450" t="s">
        <v>1241</v>
      </c>
      <c r="X5" s="450" t="s">
        <v>135</v>
      </c>
      <c r="Y5" s="450" t="s">
        <v>1176</v>
      </c>
      <c r="Z5" s="450" t="s">
        <v>1240</v>
      </c>
      <c r="AA5" s="450" t="s">
        <v>1180</v>
      </c>
      <c r="AB5" s="450" t="s">
        <v>1239</v>
      </c>
      <c r="AC5" s="450" t="s">
        <v>1238</v>
      </c>
      <c r="AD5" s="450" t="s">
        <v>1169</v>
      </c>
      <c r="AE5" s="450" t="s">
        <v>1190</v>
      </c>
      <c r="AF5" s="450" t="s">
        <v>1237</v>
      </c>
      <c r="AG5" s="450" t="s">
        <v>1237</v>
      </c>
      <c r="AH5" s="450" t="s">
        <v>1190</v>
      </c>
      <c r="AI5" s="450" t="s">
        <v>1236</v>
      </c>
    </row>
    <row r="6" spans="1:35" ht="15.75">
      <c r="A6" s="468"/>
      <c r="B6" s="578" t="s">
        <v>1229</v>
      </c>
      <c r="C6" s="767">
        <f>+'Staff Pro Forma'!T102</f>
        <v>176156.5801510707</v>
      </c>
      <c r="D6" s="576"/>
      <c r="E6" s="468"/>
      <c r="F6" s="590" t="s">
        <v>1235</v>
      </c>
      <c r="G6" s="510"/>
      <c r="H6" s="510"/>
      <c r="I6" s="589"/>
      <c r="J6" s="587" t="s">
        <v>1234</v>
      </c>
      <c r="K6" s="588"/>
      <c r="L6" s="587" t="s">
        <v>1233</v>
      </c>
      <c r="M6" s="587" t="s">
        <v>1232</v>
      </c>
      <c r="O6" s="572"/>
      <c r="P6" s="468"/>
      <c r="R6" s="761">
        <v>1</v>
      </c>
      <c r="S6" s="760">
        <f>Revenue/Investment*100</f>
        <v>230.33428563750681</v>
      </c>
      <c r="T6" s="759">
        <f>EXP(y_inter1-(slope*LN(+S6)))</f>
        <v>7.4168570069807798</v>
      </c>
      <c r="U6" s="758">
        <f>(+S6*T6/100)/100</f>
        <v>0.17083564603784548</v>
      </c>
      <c r="V6" s="758">
        <f>regDebt_weighted</f>
        <v>3.5860000000000003E-2</v>
      </c>
      <c r="W6" s="758">
        <f>+U6-V6</f>
        <v>0.13497564603784548</v>
      </c>
      <c r="X6" s="758">
        <f>+((W6*(1-0.34))-Pfd_weighted)/Equity_percent</f>
        <v>0.24097071623540117</v>
      </c>
      <c r="Y6" s="758">
        <f>X6*equityP</f>
        <v>0.14458242974124069</v>
      </c>
      <c r="Z6" s="758">
        <f>+Y6/(1-taxrate)</f>
        <v>0.18301573384967176</v>
      </c>
      <c r="AA6" s="758">
        <f>debtP*Debt_Rate</f>
        <v>2.0000000000000004E-2</v>
      </c>
      <c r="AB6" s="758">
        <f>AA6+Z6</f>
        <v>0.20301573384967175</v>
      </c>
      <c r="AC6" s="758">
        <f>AB6/(S6/100)</f>
        <v>8.8139606870846765E-2</v>
      </c>
      <c r="AD6" s="758">
        <f>1-AC6</f>
        <v>0.91186039312915323</v>
      </c>
      <c r="AE6" s="755">
        <f>expenses/(AD6)</f>
        <v>193183.71702335842</v>
      </c>
      <c r="AF6" s="757">
        <f>+AE6-Revenue</f>
        <v>35954.072892415046</v>
      </c>
      <c r="AG6" s="756">
        <f ca="1">+AF6/$J$49</f>
        <v>39865.191915159987</v>
      </c>
      <c r="AH6" s="756">
        <f ca="1">+AG6*$J$47</f>
        <v>900.95333728261573</v>
      </c>
      <c r="AI6" s="755">
        <f ca="1">ROUND(+AH6+AE6,5)</f>
        <v>194084.67035999999</v>
      </c>
    </row>
    <row r="7" spans="1:35" ht="15.75">
      <c r="A7" s="468"/>
      <c r="B7" s="578" t="s">
        <v>1067</v>
      </c>
      <c r="C7" s="766">
        <f>+'Results of Operations Regulated'!G108</f>
        <v>68261.502492245854</v>
      </c>
      <c r="D7" s="576"/>
      <c r="E7" s="468"/>
      <c r="F7" s="765">
        <v>1</v>
      </c>
      <c r="G7" s="510"/>
      <c r="H7" s="554" t="s">
        <v>1231</v>
      </c>
      <c r="I7" s="558">
        <f>IF(A65=TRUE,C5,0)</f>
        <v>157229.64413094337</v>
      </c>
      <c r="J7" s="558">
        <f ca="1">(+$I8/($R51))-I7</f>
        <v>33382.998864934721</v>
      </c>
      <c r="K7" s="558">
        <f ca="1">+I7+J7</f>
        <v>190612.64299587809</v>
      </c>
      <c r="L7" s="558">
        <f ca="1">((+J7/J49*K35)-J7)</f>
        <v>836.5262073607737</v>
      </c>
      <c r="M7" s="558">
        <f ca="1">IFERROR(+K7+L7,0.00001)</f>
        <v>191449.16920323885</v>
      </c>
      <c r="O7" s="572"/>
      <c r="P7" s="468"/>
      <c r="R7" s="544">
        <v>2</v>
      </c>
      <c r="S7" s="539">
        <f>Revenue/Investment*100</f>
        <v>230.33428563750681</v>
      </c>
      <c r="T7" s="540">
        <f>EXP(y_inter1-(slope*LN(+S7)))</f>
        <v>7.4168570069807798</v>
      </c>
      <c r="U7" s="537">
        <f>(+S7*T7/100)/100</f>
        <v>0.17083564603784548</v>
      </c>
      <c r="V7" s="537">
        <f>regDebt_weighted</f>
        <v>3.5860000000000003E-2</v>
      </c>
      <c r="W7" s="537">
        <f>+U7-V7</f>
        <v>0.13497564603784548</v>
      </c>
      <c r="X7" s="537">
        <f>+((W7*(1-0.34))-Pfd_weighted)/Equity_percent</f>
        <v>0.24097071623540117</v>
      </c>
      <c r="Y7" s="537">
        <f>X7*equityP</f>
        <v>0.14458242974124069</v>
      </c>
      <c r="Z7" s="537">
        <f>+Y7/(1-taxrate)</f>
        <v>0.18301573384967176</v>
      </c>
      <c r="AA7" s="537">
        <f>debtP*Debt_Rate</f>
        <v>2.0000000000000004E-2</v>
      </c>
      <c r="AB7" s="537">
        <f>AA7+Z7</f>
        <v>0.20301573384967175</v>
      </c>
      <c r="AC7" s="537">
        <f>AB7/(S7/100)</f>
        <v>8.8139606870846765E-2</v>
      </c>
      <c r="AD7" s="537">
        <f>1-AC7</f>
        <v>0.91186039312915323</v>
      </c>
      <c r="AE7" s="534">
        <f>expenses/(AD7)</f>
        <v>193183.71702335842</v>
      </c>
      <c r="AF7" s="536">
        <f>+AE7-Revenue</f>
        <v>35954.072892415046</v>
      </c>
      <c r="AG7" s="535">
        <f ca="1">+AF7/$J$49</f>
        <v>39865.191915159987</v>
      </c>
      <c r="AH7" s="535">
        <f ca="1">+AG7*$J$47</f>
        <v>900.95333728261573</v>
      </c>
      <c r="AI7" s="534">
        <f ca="1">ROUND(+AH7+AE7,5)</f>
        <v>194084.67035999999</v>
      </c>
    </row>
    <row r="8" spans="1:35" ht="15.75">
      <c r="A8" s="468"/>
      <c r="B8" s="578" t="s">
        <v>1230</v>
      </c>
      <c r="C8" s="762">
        <v>0.4</v>
      </c>
      <c r="D8" s="576"/>
      <c r="E8" s="468"/>
      <c r="F8" s="505">
        <f t="shared" ref="F8:F49" si="0">+F7+1</f>
        <v>2</v>
      </c>
      <c r="G8" s="510"/>
      <c r="H8" s="554" t="s">
        <v>1229</v>
      </c>
      <c r="I8" s="558">
        <f>IF(A65=TRUE,C6,0)</f>
        <v>176156.5801510707</v>
      </c>
      <c r="J8" s="506"/>
      <c r="K8" s="558">
        <f>+I8</f>
        <v>176156.5801510707</v>
      </c>
      <c r="L8" s="558">
        <f ca="1">+L7</f>
        <v>836.5262073607737</v>
      </c>
      <c r="M8" s="558">
        <f ca="1">IFERROR(+K8+L8,0.00001)</f>
        <v>176993.10635843145</v>
      </c>
      <c r="O8" s="572"/>
      <c r="P8" s="468"/>
      <c r="R8" s="512">
        <v>3</v>
      </c>
      <c r="S8" s="539">
        <f>Revenue/Investment*100</f>
        <v>230.33428563750681</v>
      </c>
      <c r="T8" s="540">
        <f>EXP(y_inter1-(slope*LN(+S8)))</f>
        <v>7.4168570069807798</v>
      </c>
      <c r="U8" s="537">
        <f>(+S8*T8/100)/100</f>
        <v>0.17083564603784548</v>
      </c>
      <c r="V8" s="537">
        <f>regDebt_weighted</f>
        <v>3.5860000000000003E-2</v>
      </c>
      <c r="W8" s="537">
        <f>+U8-V8</f>
        <v>0.13497564603784548</v>
      </c>
      <c r="X8" s="537">
        <f>+((W8*(1-0.34))-Pfd_weighted)/Equity_percent</f>
        <v>0.24097071623540117</v>
      </c>
      <c r="Y8" s="537">
        <f>X8*equityP</f>
        <v>0.14458242974124069</v>
      </c>
      <c r="Z8" s="537">
        <f>+Y8/(1-taxrate)</f>
        <v>0.18301573384967176</v>
      </c>
      <c r="AA8" s="537">
        <f>debtP*Debt_Rate</f>
        <v>2.0000000000000004E-2</v>
      </c>
      <c r="AB8" s="537">
        <f>AA8+Z8</f>
        <v>0.20301573384967175</v>
      </c>
      <c r="AC8" s="537">
        <f>AB8/(S8/100)</f>
        <v>8.8139606870846765E-2</v>
      </c>
      <c r="AD8" s="537">
        <f>1-AC8</f>
        <v>0.91186039312915323</v>
      </c>
      <c r="AE8" s="534">
        <f>expenses/(AD8)</f>
        <v>193183.71702335842</v>
      </c>
      <c r="AF8" s="536">
        <f>+AE8-Revenue</f>
        <v>35954.072892415046</v>
      </c>
      <c r="AG8" s="535">
        <f ca="1">+AF8/$J$49</f>
        <v>39865.191915159987</v>
      </c>
      <c r="AH8" s="535">
        <f ca="1">+AG8*$J$47</f>
        <v>900.95333728261573</v>
      </c>
      <c r="AI8" s="534">
        <f ca="1">ROUND(+AH8+AE8,5)</f>
        <v>194084.67035999999</v>
      </c>
    </row>
    <row r="9" spans="1:35" ht="15.75">
      <c r="A9" s="468"/>
      <c r="B9" s="578" t="s">
        <v>1228</v>
      </c>
      <c r="C9" s="762">
        <v>0.05</v>
      </c>
      <c r="D9" s="576"/>
      <c r="E9" s="468"/>
      <c r="F9" s="505">
        <f t="shared" si="0"/>
        <v>3</v>
      </c>
      <c r="G9" s="510"/>
      <c r="H9" s="554" t="s">
        <v>1227</v>
      </c>
      <c r="I9" s="764">
        <f>+I7-I8</f>
        <v>-18926.936020127323</v>
      </c>
      <c r="J9" s="506"/>
      <c r="K9" s="764">
        <f ca="1">+K7-K8</f>
        <v>14456.062844807399</v>
      </c>
      <c r="L9" s="510"/>
      <c r="M9" s="763">
        <f ca="1">+M7-M8</f>
        <v>14456.062844807399</v>
      </c>
      <c r="O9" s="572"/>
      <c r="P9" s="468"/>
      <c r="R9" s="518">
        <v>4</v>
      </c>
      <c r="S9" s="539">
        <f>Revenue/Investment*100</f>
        <v>230.33428563750681</v>
      </c>
      <c r="T9" s="540">
        <f>EXP(y_inter1-(slope*LN(+S9)))</f>
        <v>7.4168570069807798</v>
      </c>
      <c r="U9" s="537">
        <f>(+S9*T9/100)/100</f>
        <v>0.17083564603784548</v>
      </c>
      <c r="V9" s="537">
        <f>regDebt_weighted</f>
        <v>3.5860000000000003E-2</v>
      </c>
      <c r="W9" s="537">
        <f>+U9-V9</f>
        <v>0.13497564603784548</v>
      </c>
      <c r="X9" s="537">
        <f>+((W9*(1-0.34))-Pfd_weighted)/Equity_percent</f>
        <v>0.24097071623540117</v>
      </c>
      <c r="Y9" s="537">
        <f>X9*equityP</f>
        <v>0.14458242974124069</v>
      </c>
      <c r="Z9" s="537">
        <f>+Y9/(1-taxrate)</f>
        <v>0.18301573384967176</v>
      </c>
      <c r="AA9" s="537">
        <f>debtP*Debt_Rate</f>
        <v>2.0000000000000004E-2</v>
      </c>
      <c r="AB9" s="537">
        <f>AA9+Z9</f>
        <v>0.20301573384967175</v>
      </c>
      <c r="AC9" s="537">
        <f>AB9/(S9/100)</f>
        <v>8.8139606870846765E-2</v>
      </c>
      <c r="AD9" s="537">
        <f>1-AC9</f>
        <v>0.91186039312915323</v>
      </c>
      <c r="AE9" s="534">
        <f>expenses/(AD9)</f>
        <v>193183.71702335842</v>
      </c>
      <c r="AF9" s="536">
        <f>+AE9-Revenue</f>
        <v>35954.072892415046</v>
      </c>
      <c r="AG9" s="535">
        <f ca="1">+AF9/$J$49</f>
        <v>39865.191915159987</v>
      </c>
      <c r="AH9" s="535">
        <f ca="1">+AG9*$J$47</f>
        <v>900.95333728261573</v>
      </c>
      <c r="AI9" s="534">
        <f ca="1">ROUND(+AH9+AE9,5)</f>
        <v>194084.67035999999</v>
      </c>
    </row>
    <row r="10" spans="1:35" ht="15.75">
      <c r="A10" s="468"/>
      <c r="B10" s="586" t="s">
        <v>1226</v>
      </c>
      <c r="C10" s="762">
        <v>0.21</v>
      </c>
      <c r="D10" s="576"/>
      <c r="E10" s="468"/>
      <c r="F10" s="505">
        <f t="shared" si="0"/>
        <v>4</v>
      </c>
      <c r="G10" s="510"/>
      <c r="H10" s="510"/>
      <c r="I10" s="506"/>
      <c r="J10" s="506"/>
      <c r="K10" s="558"/>
      <c r="L10" s="510"/>
      <c r="M10" s="510"/>
      <c r="N10" s="510"/>
      <c r="O10" s="572"/>
      <c r="P10" s="468"/>
      <c r="R10" s="450" t="s">
        <v>1225</v>
      </c>
    </row>
    <row r="11" spans="1:35" ht="15.75">
      <c r="A11" s="468"/>
      <c r="B11" s="578" t="s">
        <v>1224</v>
      </c>
      <c r="C11" s="754">
        <v>1.7500000000000002E-2</v>
      </c>
      <c r="D11" s="576"/>
      <c r="E11" s="468"/>
      <c r="F11" s="505">
        <f t="shared" si="0"/>
        <v>5</v>
      </c>
      <c r="G11" s="510"/>
      <c r="H11" s="554" t="s">
        <v>1223</v>
      </c>
      <c r="I11" s="558">
        <f>+K11</f>
        <v>1365.2300498449172</v>
      </c>
      <c r="J11" s="506"/>
      <c r="K11" s="558">
        <f>+M27</f>
        <v>1365.2300498449172</v>
      </c>
      <c r="L11" s="510"/>
      <c r="M11" s="558">
        <f>+K11</f>
        <v>1365.2300498449172</v>
      </c>
      <c r="O11" s="572"/>
      <c r="P11" s="468"/>
      <c r="R11" s="761">
        <v>1</v>
      </c>
      <c r="S11" s="760">
        <f ca="1">IF((AI6/Investment*100)&gt;0,(AI6/Investment*100),0)</f>
        <v>284.32522472245171</v>
      </c>
      <c r="T11" s="759">
        <f ca="1">EXP(y_inter1-(slope*LN(S11)))</f>
        <v>6.4223450315697708</v>
      </c>
      <c r="U11" s="758">
        <f ca="1">(+S11*T11/100)/100</f>
        <v>0.18260346943461964</v>
      </c>
      <c r="V11" s="758">
        <f>regDebt_weighted</f>
        <v>3.5860000000000003E-2</v>
      </c>
      <c r="W11" s="758">
        <f ca="1">+U11-V11</f>
        <v>0.14674346943461963</v>
      </c>
      <c r="X11" s="758">
        <f ca="1">+((W11*(1-0.34))-Pfd_weighted)/Equity_percent</f>
        <v>0.26354851693851439</v>
      </c>
      <c r="Y11" s="758">
        <f ca="1">+X11*equityP</f>
        <v>0.15812911016310863</v>
      </c>
      <c r="Z11" s="758">
        <f ca="1">+Y11/(1-taxrate)</f>
        <v>0.20016343058621344</v>
      </c>
      <c r="AA11" s="758">
        <f>debtP*Debt_Rate</f>
        <v>2.0000000000000004E-2</v>
      </c>
      <c r="AB11" s="758">
        <f ca="1">+AA11+Z11</f>
        <v>0.22016343058621346</v>
      </c>
      <c r="AC11" s="758">
        <f ca="1">+AB11/(S11/100)</f>
        <v>7.7433660977892227E-2</v>
      </c>
      <c r="AD11" s="758">
        <f ca="1">1-AC11</f>
        <v>0.92256633902210772</v>
      </c>
      <c r="AE11" s="755">
        <f ca="1">expenses/(AD11)</f>
        <v>190941.91138362073</v>
      </c>
      <c r="AF11" s="757">
        <f ca="1">+AE11-Revenue</f>
        <v>33712.267252677353</v>
      </c>
      <c r="AG11" s="756">
        <f ca="1">+AF11/$J$49</f>
        <v>37379.520477266095</v>
      </c>
      <c r="AH11" s="756">
        <f ca="1">+AG11*$J$47</f>
        <v>844.77716278621381</v>
      </c>
      <c r="AI11" s="755">
        <f ca="1">ROUND(+AH11+AE11,5)</f>
        <v>191786.68854999999</v>
      </c>
    </row>
    <row r="12" spans="1:35" ht="15.75">
      <c r="A12" s="468"/>
      <c r="B12" s="578" t="s">
        <v>1222</v>
      </c>
      <c r="C12" s="754">
        <v>5.1000000000000004E-3</v>
      </c>
      <c r="D12" s="576"/>
      <c r="E12" s="468"/>
      <c r="F12" s="505">
        <f t="shared" si="0"/>
        <v>6</v>
      </c>
      <c r="G12" s="510"/>
      <c r="H12" s="554" t="s">
        <v>1221</v>
      </c>
      <c r="I12" s="558">
        <f ca="1">IF(I14&lt;0,0,+J38*I14)</f>
        <v>0</v>
      </c>
      <c r="J12" s="558">
        <f ca="1">+K12-I12</f>
        <v>2749.0748869421209</v>
      </c>
      <c r="K12" s="558">
        <f ca="1">+(K9-K11)*taxrate</f>
        <v>2749.0748869421209</v>
      </c>
      <c r="L12" s="510"/>
      <c r="M12" s="558">
        <f ca="1">+K12</f>
        <v>2749.0748869421209</v>
      </c>
      <c r="O12" s="572"/>
      <c r="P12" s="468"/>
      <c r="R12" s="544">
        <v>2</v>
      </c>
      <c r="S12" s="539">
        <f ca="1">IF((AI7/Investment*100)&gt;0,(AI7/Investment*100),0)</f>
        <v>284.32522472245171</v>
      </c>
      <c r="T12" s="543">
        <f ca="1">EXP(y_inter2-(slope*LN(+S12)))</f>
        <v>6.3309690994777243</v>
      </c>
      <c r="U12" s="537">
        <f ca="1">(+S12*T12/100)/100</f>
        <v>0.18000542119199017</v>
      </c>
      <c r="V12" s="537">
        <f>regDebt_weighted</f>
        <v>3.5860000000000003E-2</v>
      </c>
      <c r="W12" s="537">
        <f ca="1">+U12-V12</f>
        <v>0.14414542119199017</v>
      </c>
      <c r="X12" s="537">
        <f ca="1">+((W12*(1-0.34))-Pfd_weighted)/Equity_percent</f>
        <v>0.25856388949626019</v>
      </c>
      <c r="Y12" s="537">
        <f ca="1">+X12*equityP</f>
        <v>0.15513833369775612</v>
      </c>
      <c r="Z12" s="537">
        <f ca="1">+Y12/(1-taxrate)</f>
        <v>0.19637763759209634</v>
      </c>
      <c r="AA12" s="537">
        <f>debtP*Debt_Rate</f>
        <v>2.0000000000000004E-2</v>
      </c>
      <c r="AB12" s="537">
        <f ca="1">+AA12+Z12</f>
        <v>0.21637763759209633</v>
      </c>
      <c r="AC12" s="537">
        <f ca="1">+AB12/(S12/100)</f>
        <v>7.6102160053972204E-2</v>
      </c>
      <c r="AD12" s="537">
        <f ca="1">1-AC12</f>
        <v>0.92389783994602781</v>
      </c>
      <c r="AE12" s="534">
        <f ca="1">expenses/(AD12)</f>
        <v>190666.73016722433</v>
      </c>
      <c r="AF12" s="536">
        <f ca="1">+AE12-Revenue</f>
        <v>33437.086036280962</v>
      </c>
      <c r="AG12" s="535">
        <f ca="1">+AF12/$J$49</f>
        <v>37074.404780473822</v>
      </c>
      <c r="AH12" s="535">
        <f ca="1">+AG12*$J$47</f>
        <v>837.8815480387085</v>
      </c>
      <c r="AI12" s="534">
        <f ca="1">ROUND(+AH12+AE12,5)</f>
        <v>191504.61171999999</v>
      </c>
    </row>
    <row r="13" spans="1:35" ht="15.75">
      <c r="A13" s="468"/>
      <c r="B13" s="578" t="s">
        <v>1220</v>
      </c>
      <c r="C13" s="754">
        <v>0</v>
      </c>
      <c r="D13" s="576"/>
      <c r="E13" s="468"/>
      <c r="F13" s="505">
        <f t="shared" si="0"/>
        <v>7</v>
      </c>
      <c r="G13" s="510"/>
      <c r="H13" s="510"/>
      <c r="I13" s="506"/>
      <c r="J13" s="506"/>
      <c r="K13" s="558"/>
      <c r="L13" s="510"/>
      <c r="M13" s="510"/>
      <c r="O13" s="572"/>
      <c r="P13" s="468"/>
      <c r="R13" s="512">
        <v>3</v>
      </c>
      <c r="S13" s="539">
        <f ca="1">IF((AI8/Investment*100)&gt;0,(AI8/Investment*100),0)</f>
        <v>284.32522472245171</v>
      </c>
      <c r="T13" s="540">
        <f ca="1">EXP(y_inter3-(slope*LN(S13)))</f>
        <v>6.2694167044377052</v>
      </c>
      <c r="U13" s="537">
        <f ca="1">(+S13*T13/100)/100</f>
        <v>0.17825533133679428</v>
      </c>
      <c r="V13" s="537">
        <f>regDebt_weighted</f>
        <v>3.5860000000000003E-2</v>
      </c>
      <c r="W13" s="537">
        <f ca="1">+U13-V13</f>
        <v>0.14239533133679427</v>
      </c>
      <c r="X13" s="537">
        <f ca="1">+((W13*(1-0.34))-Pfd_weighted)/Equity_percent</f>
        <v>0.25520615896012855</v>
      </c>
      <c r="Y13" s="537">
        <f ca="1">+X13*equityP</f>
        <v>0.15312369537607712</v>
      </c>
      <c r="Z13" s="537">
        <f ca="1">+Y13/(1-taxrate)</f>
        <v>0.19382746250136343</v>
      </c>
      <c r="AA13" s="537">
        <f>debtP*Debt_Rate</f>
        <v>2.0000000000000004E-2</v>
      </c>
      <c r="AB13" s="537">
        <f ca="1">+AA13+Z13</f>
        <v>0.21382746250136342</v>
      </c>
      <c r="AC13" s="537">
        <f ca="1">+AB13/(S13/100)</f>
        <v>7.5205238195131752E-2</v>
      </c>
      <c r="AD13" s="537">
        <f ca="1">1-AC13</f>
        <v>0.92479476180486819</v>
      </c>
      <c r="AE13" s="534">
        <f ca="1">expenses/(AD13)</f>
        <v>190481.81004753546</v>
      </c>
      <c r="AF13" s="536">
        <f ca="1">+AE13-Revenue</f>
        <v>33252.165916592086</v>
      </c>
      <c r="AG13" s="535">
        <f ca="1">+AF13/$J$49</f>
        <v>36869.368870288345</v>
      </c>
      <c r="AH13" s="535">
        <f ca="1">+AG13*$J$47</f>
        <v>833.24773646851668</v>
      </c>
      <c r="AI13" s="534">
        <f ca="1">ROUND(+AH13+AE13,5)</f>
        <v>191315.05778</v>
      </c>
    </row>
    <row r="14" spans="1:35" ht="16.5" thickBot="1">
      <c r="A14" s="468"/>
      <c r="B14" s="577" t="s">
        <v>1219</v>
      </c>
      <c r="C14" s="754">
        <v>0</v>
      </c>
      <c r="D14" s="576"/>
      <c r="E14" s="468"/>
      <c r="F14" s="505">
        <f t="shared" si="0"/>
        <v>8</v>
      </c>
      <c r="G14" s="510"/>
      <c r="H14" s="510" t="s">
        <v>1218</v>
      </c>
      <c r="I14" s="753">
        <f ca="1">+I9-SUM(I11:I13)</f>
        <v>-20292.166069972242</v>
      </c>
      <c r="J14" s="506"/>
      <c r="K14" s="753">
        <f ca="1">+K9-SUM(K11:K13)</f>
        <v>10341.757908020361</v>
      </c>
      <c r="L14" s="510"/>
      <c r="M14" s="753">
        <f ca="1">+M9-SUM(M11:M13)</f>
        <v>10341.757908020361</v>
      </c>
      <c r="O14" s="572"/>
      <c r="P14" s="468"/>
      <c r="R14" s="518">
        <v>4</v>
      </c>
      <c r="S14" s="539">
        <f ca="1">IF((AI9/Investment*100)&gt;0,(AI9/Investment*100),0)</f>
        <v>284.32522472245171</v>
      </c>
      <c r="T14" s="538">
        <f ca="1">EXP(y_inter4-(slope*LN(S14)))</f>
        <v>6.2300435349104282</v>
      </c>
      <c r="U14" s="537">
        <f ca="1">(+S14*T14/100)/100</f>
        <v>0.1771358528094065</v>
      </c>
      <c r="V14" s="537">
        <f>regDebt_weighted</f>
        <v>3.5860000000000003E-2</v>
      </c>
      <c r="W14" s="537">
        <f ca="1">+U14-V14</f>
        <v>0.14127585280940649</v>
      </c>
      <c r="X14" s="537">
        <f ca="1">+((W14*(1-0.34))-Pfd_weighted)/Equity_percent</f>
        <v>0.25305832225060548</v>
      </c>
      <c r="Y14" s="537">
        <f ca="1">+X14*equityP</f>
        <v>0.1518349933503633</v>
      </c>
      <c r="Z14" s="537">
        <f ca="1">+Y14/(1-taxrate)</f>
        <v>0.19219619411438391</v>
      </c>
      <c r="AA14" s="537">
        <f>debtP*Debt_Rate</f>
        <v>2.0000000000000004E-2</v>
      </c>
      <c r="AB14" s="537">
        <f ca="1">+AA14+Z14</f>
        <v>0.2121961941143839</v>
      </c>
      <c r="AC14" s="537">
        <f ca="1">+AB14/(S14/100)</f>
        <v>7.4631504932959211E-2</v>
      </c>
      <c r="AD14" s="537">
        <f ca="1">1-AC14</f>
        <v>0.92536849506704077</v>
      </c>
      <c r="AE14" s="534">
        <f ca="1">expenses/(AD14)</f>
        <v>190363.71033823511</v>
      </c>
      <c r="AF14" s="536">
        <f ca="1">+AE14-Revenue</f>
        <v>33134.066207291733</v>
      </c>
      <c r="AG14" s="535">
        <f ca="1">+AF14/$J$49</f>
        <v>36738.42215973149</v>
      </c>
      <c r="AH14" s="535">
        <f ca="1">+AG14*$J$47</f>
        <v>830.2883408099317</v>
      </c>
      <c r="AI14" s="534">
        <f ca="1">ROUND(+AH14+AE14,5)</f>
        <v>191193.99867999999</v>
      </c>
    </row>
    <row r="15" spans="1:35" ht="16.5" thickTop="1">
      <c r="A15" s="468"/>
      <c r="B15" s="782"/>
      <c r="C15" s="782"/>
      <c r="D15" s="468"/>
      <c r="E15" s="468"/>
      <c r="F15" s="505">
        <f t="shared" si="0"/>
        <v>9</v>
      </c>
      <c r="G15" s="506"/>
      <c r="H15" s="506"/>
      <c r="I15" s="506"/>
      <c r="J15" s="506"/>
      <c r="K15" s="575"/>
      <c r="L15" s="506"/>
      <c r="M15" s="506"/>
      <c r="O15" s="572"/>
      <c r="P15" s="468"/>
      <c r="R15" s="450" t="s">
        <v>1217</v>
      </c>
    </row>
    <row r="16" spans="1:35" ht="15.75">
      <c r="A16" s="468"/>
      <c r="B16" s="752" t="s">
        <v>1216</v>
      </c>
      <c r="C16" s="780"/>
      <c r="D16" s="780"/>
      <c r="E16" s="468"/>
      <c r="F16" s="505">
        <f t="shared" si="0"/>
        <v>10</v>
      </c>
      <c r="G16" s="506"/>
      <c r="H16" s="554" t="s">
        <v>1215</v>
      </c>
      <c r="I16" s="556">
        <f>+I8/I7</f>
        <v>1.1203776560377168</v>
      </c>
      <c r="J16" s="574"/>
      <c r="K16" s="556">
        <f ca="1">+K8/K7</f>
        <v>0.92415999999999998</v>
      </c>
      <c r="L16" s="573"/>
      <c r="M16" s="556">
        <f ca="1">+M8/M7</f>
        <v>0.92449137854726804</v>
      </c>
      <c r="O16" s="572"/>
      <c r="P16" s="468"/>
      <c r="R16" s="585">
        <v>1</v>
      </c>
      <c r="S16" s="584">
        <f ca="1">AI11/Investment*100</f>
        <v>280.95878576916169</v>
      </c>
      <c r="T16" s="583">
        <f ca="1">EXP(y_inter1-(slope*LN(+S16)))</f>
        <v>6.4748558471833277</v>
      </c>
      <c r="U16" s="582">
        <f ca="1">(+S16*T16/100)/100</f>
        <v>0.18191676368549847</v>
      </c>
      <c r="V16" s="582">
        <f>regDebt_weighted</f>
        <v>3.5860000000000003E-2</v>
      </c>
      <c r="W16" s="582">
        <f ca="1">+U16-V16</f>
        <v>0.14605676368549847</v>
      </c>
      <c r="X16" s="582">
        <f ca="1">+((W16*(1-0.34))-Pfd_weighted)/Equity_percent</f>
        <v>0.26223100009427031</v>
      </c>
      <c r="Y16" s="582">
        <f ca="1">+X16*equityP</f>
        <v>0.15733860005656217</v>
      </c>
      <c r="Z16" s="582">
        <f ca="1">+Y16/(1-taxrate)</f>
        <v>0.19916278488172426</v>
      </c>
      <c r="AA16" s="582">
        <f>debtP*Debt_Rate</f>
        <v>2.0000000000000004E-2</v>
      </c>
      <c r="AB16" s="582">
        <f ca="1">+AA16+Z16</f>
        <v>0.21916278488172425</v>
      </c>
      <c r="AC16" s="582">
        <f ca="1">+AB16/(S16/100)</f>
        <v>7.8005314652018182E-2</v>
      </c>
      <c r="AD16" s="582">
        <f ca="1">1-AC16</f>
        <v>0.92199468534798179</v>
      </c>
      <c r="AE16" s="579">
        <f ca="1">expenses/(AD16)</f>
        <v>191060.29888294335</v>
      </c>
      <c r="AF16" s="581">
        <f ca="1">+AE16-Revenue</f>
        <v>33830.654751999973</v>
      </c>
      <c r="AG16" s="580">
        <f ca="1">+AF16/$J$49</f>
        <v>37510.786283923779</v>
      </c>
      <c r="AH16" s="580">
        <f ca="1">+AG16*$J$47</f>
        <v>847.74377001667744</v>
      </c>
      <c r="AI16" s="579">
        <f ca="1">ROUND(+AH16+AE16,5)</f>
        <v>191908.04264999999</v>
      </c>
    </row>
    <row r="17" spans="1:35" ht="15.75">
      <c r="A17" s="468"/>
      <c r="B17" s="779"/>
      <c r="C17" s="780"/>
      <c r="D17" s="468" t="s">
        <v>1214</v>
      </c>
      <c r="E17" s="468"/>
      <c r="F17" s="505">
        <f t="shared" si="0"/>
        <v>11</v>
      </c>
      <c r="G17" s="506"/>
      <c r="H17" s="506"/>
      <c r="I17" s="506"/>
      <c r="K17" s="506"/>
      <c r="L17" s="554"/>
      <c r="M17" s="554"/>
      <c r="N17" s="556"/>
      <c r="O17" s="468"/>
      <c r="P17" s="468"/>
      <c r="R17" s="544">
        <v>2</v>
      </c>
      <c r="S17" s="539">
        <f ca="1">AI12/Investment*100</f>
        <v>280.54555602809052</v>
      </c>
      <c r="T17" s="543">
        <f ca="1">EXP(y_inter2-(slope*LN(+S17)))</f>
        <v>6.3891587938544241</v>
      </c>
      <c r="U17" s="537">
        <f ca="1">(+S17*T17/100)/100</f>
        <v>0.17924501063736537</v>
      </c>
      <c r="V17" s="537">
        <f>regDebt_weighted</f>
        <v>3.5860000000000003E-2</v>
      </c>
      <c r="W17" s="537">
        <f ca="1">+U17-V17</f>
        <v>0.14338501063736536</v>
      </c>
      <c r="X17" s="537">
        <f ca="1">+((W17*(1-0.34))-Pfd_weighted)/Equity_percent</f>
        <v>0.25710496226936375</v>
      </c>
      <c r="Y17" s="537">
        <f ca="1">+X17*equityP</f>
        <v>0.15426297736161823</v>
      </c>
      <c r="Z17" s="537">
        <f ca="1">+Y17/(1-taxrate)</f>
        <v>0.19526959159698509</v>
      </c>
      <c r="AA17" s="537">
        <f>debtP*Debt_Rate</f>
        <v>2.0000000000000004E-2</v>
      </c>
      <c r="AB17" s="537">
        <f ca="1">+AA17+Z17</f>
        <v>0.21526959159698511</v>
      </c>
      <c r="AC17" s="537">
        <f ca="1">+AB17/(S17/100)</f>
        <v>7.6732490310924967E-2</v>
      </c>
      <c r="AD17" s="537">
        <f ca="1">1-AC17</f>
        <v>0.92326750968907501</v>
      </c>
      <c r="AE17" s="534">
        <f ca="1">expenses/(AD17)</f>
        <v>190796.90155066134</v>
      </c>
      <c r="AF17" s="536">
        <f ca="1">+AE17-Revenue</f>
        <v>33567.257419717964</v>
      </c>
      <c r="AG17" s="535">
        <f ca="1">+AF17/$J$49</f>
        <v>37218.736333622357</v>
      </c>
      <c r="AH17" s="535">
        <f ca="1">+AG17*$J$47</f>
        <v>841.14344113986533</v>
      </c>
      <c r="AI17" s="534">
        <f ca="1">ROUND(+AH17+AE17,5)</f>
        <v>191638.04498999999</v>
      </c>
    </row>
    <row r="18" spans="1:35" ht="15.75">
      <c r="A18" s="468"/>
      <c r="B18" s="781" t="s">
        <v>1213</v>
      </c>
      <c r="C18" s="781"/>
      <c r="D18" s="468"/>
      <c r="E18" s="468"/>
      <c r="F18" s="505">
        <f t="shared" si="0"/>
        <v>12</v>
      </c>
      <c r="G18" s="506"/>
      <c r="H18" s="751" t="s">
        <v>143</v>
      </c>
      <c r="I18" s="736"/>
      <c r="J18" s="736"/>
      <c r="K18" s="736"/>
      <c r="L18" s="736"/>
      <c r="M18" s="735"/>
      <c r="O18" s="468"/>
      <c r="P18" s="468"/>
      <c r="R18" s="512">
        <v>3</v>
      </c>
      <c r="S18" s="539">
        <f ca="1">AI13/Investment*100</f>
        <v>280.26786811751231</v>
      </c>
      <c r="T18" s="540">
        <f ca="1">EXP(y_inter3-(slope*LN(S18)))</f>
        <v>6.3313257715815476</v>
      </c>
      <c r="U18" s="537">
        <f ca="1">(+S18*T18/100)/100</f>
        <v>0.17744671763586239</v>
      </c>
      <c r="V18" s="537">
        <f>regDebt_weighted</f>
        <v>3.5860000000000003E-2</v>
      </c>
      <c r="W18" s="537">
        <f ca="1">+U18-V18</f>
        <v>0.14158671763586239</v>
      </c>
      <c r="X18" s="537">
        <f ca="1">+((W18*(1-0.34))-Pfd_weighted)/Equity_percent</f>
        <v>0.25365474895252665</v>
      </c>
      <c r="Y18" s="537">
        <f ca="1">+X18*equityP</f>
        <v>0.15219284937151598</v>
      </c>
      <c r="Z18" s="537">
        <f ca="1">+Y18/(1-taxrate)</f>
        <v>0.19264917641964047</v>
      </c>
      <c r="AA18" s="537">
        <f>debtP*Debt_Rate</f>
        <v>2.0000000000000004E-2</v>
      </c>
      <c r="AB18" s="537">
        <f ca="1">+AA18+Z18</f>
        <v>0.21264917641964048</v>
      </c>
      <c r="AC18" s="537">
        <f ca="1">+AB18/(S18/100)</f>
        <v>7.5873548347854036E-2</v>
      </c>
      <c r="AD18" s="537">
        <f ca="1">1-AC18</f>
        <v>0.92412645165214591</v>
      </c>
      <c r="AE18" s="534">
        <f ca="1">expenses/(AD18)</f>
        <v>190619.56276236803</v>
      </c>
      <c r="AF18" s="536">
        <f ca="1">+AE18-Revenue</f>
        <v>33389.918631424662</v>
      </c>
      <c r="AG18" s="535">
        <f ca="1">+AF18/$J$49</f>
        <v>37022.106459436232</v>
      </c>
      <c r="AH18" s="535">
        <f ca="1">+AG18*$J$47</f>
        <v>836.69960598325895</v>
      </c>
      <c r="AI18" s="534">
        <f ca="1">ROUND(+AH18+AE18,5)</f>
        <v>191456.26237000001</v>
      </c>
    </row>
    <row r="19" spans="1:35" ht="15.75">
      <c r="A19" s="468"/>
      <c r="B19" s="468"/>
      <c r="C19" s="468"/>
      <c r="D19" s="468"/>
      <c r="E19" s="468"/>
      <c r="F19" s="505">
        <f t="shared" si="0"/>
        <v>13</v>
      </c>
      <c r="G19" s="506"/>
      <c r="H19" s="504"/>
      <c r="I19" s="570" t="s">
        <v>1212</v>
      </c>
      <c r="J19" s="507">
        <f>+Revenue</f>
        <v>157229.64413094337</v>
      </c>
      <c r="K19" s="571"/>
      <c r="L19" s="570" t="s">
        <v>1211</v>
      </c>
      <c r="M19" s="569">
        <f ca="1">+J7</f>
        <v>33382.998864934721</v>
      </c>
      <c r="O19" s="468"/>
      <c r="P19" s="468"/>
      <c r="R19" s="518">
        <v>4</v>
      </c>
      <c r="S19" s="539">
        <f ca="1">AI14/Investment*100</f>
        <v>280.09052203578233</v>
      </c>
      <c r="T19" s="538">
        <f ca="1">EXP(y_inter4-(slope*LN(S19)))</f>
        <v>6.2942870341202521</v>
      </c>
      <c r="U19" s="537">
        <f ca="1">(+S19*T19/100)/100</f>
        <v>0.17629701412297977</v>
      </c>
      <c r="V19" s="537">
        <f>regDebt_weighted</f>
        <v>3.5860000000000003E-2</v>
      </c>
      <c r="W19" s="537">
        <f ca="1">+U19-V19</f>
        <v>0.14043701412297976</v>
      </c>
      <c r="X19" s="537">
        <f ca="1">+((W19*(1-0.34))-Pfd_weighted)/Equity_percent</f>
        <v>0.25144892244525185</v>
      </c>
      <c r="Y19" s="537">
        <f ca="1">+X19*equityP</f>
        <v>0.15086935346715111</v>
      </c>
      <c r="Z19" s="537">
        <f ca="1">+Y19/(1-taxrate)</f>
        <v>0.19097386514829254</v>
      </c>
      <c r="AA19" s="537">
        <f>debtP*Debt_Rate</f>
        <v>2.0000000000000004E-2</v>
      </c>
      <c r="AB19" s="537">
        <f ca="1">+AA19+Z19</f>
        <v>0.21097386514829253</v>
      </c>
      <c r="AC19" s="537">
        <f ca="1">+AB19/(S19/100)</f>
        <v>7.5323457436142743E-2</v>
      </c>
      <c r="AD19" s="537">
        <f ca="1">1-AC19</f>
        <v>0.92467654256385723</v>
      </c>
      <c r="AE19" s="534">
        <f ca="1">expenses/(AD19)</f>
        <v>190506.16301203024</v>
      </c>
      <c r="AF19" s="536">
        <f ca="1">+AE19-Revenue</f>
        <v>33276.518881086871</v>
      </c>
      <c r="AG19" s="535">
        <f ca="1">+AF19/$J$49</f>
        <v>36896.370973949663</v>
      </c>
      <c r="AH19" s="535">
        <f ca="1">+AG19*$J$47</f>
        <v>833.85798401126249</v>
      </c>
      <c r="AI19" s="534">
        <f ca="1">ROUND(+AH19+AE19,5)</f>
        <v>191340.02100000001</v>
      </c>
    </row>
    <row r="20" spans="1:35" ht="15.75">
      <c r="A20" s="468"/>
      <c r="B20" s="568"/>
      <c r="C20" s="468"/>
      <c r="D20" s="468"/>
      <c r="E20" s="468"/>
      <c r="F20" s="505">
        <f t="shared" si="0"/>
        <v>14</v>
      </c>
      <c r="G20" s="506"/>
      <c r="H20" s="504"/>
      <c r="I20" s="570" t="s">
        <v>1207</v>
      </c>
      <c r="J20" s="507">
        <f ca="1">+J21-J19</f>
        <v>34219.525072295481</v>
      </c>
      <c r="K20" s="571"/>
      <c r="L20" s="570" t="s">
        <v>1210</v>
      </c>
      <c r="M20" s="569">
        <f ca="1">+L8</f>
        <v>836.5262073607737</v>
      </c>
      <c r="O20" s="468"/>
      <c r="P20" s="468"/>
      <c r="R20" s="450" t="s">
        <v>1209</v>
      </c>
    </row>
    <row r="21" spans="1:35" ht="16.5" thickBot="1">
      <c r="A21" s="468"/>
      <c r="B21" s="568" t="s">
        <v>1208</v>
      </c>
      <c r="C21" s="468"/>
      <c r="D21" s="468"/>
      <c r="E21" s="468"/>
      <c r="F21" s="505">
        <f t="shared" si="0"/>
        <v>15</v>
      </c>
      <c r="G21" s="506"/>
      <c r="H21" s="504"/>
      <c r="I21" s="566" t="s">
        <v>143</v>
      </c>
      <c r="J21" s="567">
        <f ca="1">+M7</f>
        <v>191449.16920323885</v>
      </c>
      <c r="K21" s="463"/>
      <c r="L21" s="566" t="s">
        <v>1207</v>
      </c>
      <c r="M21" s="565">
        <f ca="1">+M19+M20</f>
        <v>34219.525072295495</v>
      </c>
      <c r="O21" s="468"/>
      <c r="P21" s="468"/>
      <c r="R21" s="585">
        <v>1</v>
      </c>
      <c r="S21" s="584">
        <f ca="1">AI16/Investment*100</f>
        <v>281.13656401248966</v>
      </c>
      <c r="T21" s="583">
        <f ca="1">EXP(y_inter1-(slope*LN(+S21)))</f>
        <v>6.4720563415135208</v>
      </c>
      <c r="U21" s="582">
        <f ca="1">(+S21*T21/100)/100</f>
        <v>0.18195316819483554</v>
      </c>
      <c r="V21" s="582">
        <f>regDebt_weighted</f>
        <v>3.5860000000000003E-2</v>
      </c>
      <c r="W21" s="582">
        <f ca="1">+U21-V21</f>
        <v>0.14609316819483553</v>
      </c>
      <c r="X21" s="582">
        <f ca="1">+((W21*(1-0.34))-Pfd_weighted)/Equity_percent</f>
        <v>0.2623008459552077</v>
      </c>
      <c r="Y21" s="582">
        <f ca="1">+X21*equityP</f>
        <v>0.15738050757312461</v>
      </c>
      <c r="Z21" s="582">
        <f ca="1">+Y21/(1-taxrate)</f>
        <v>0.19921583237104379</v>
      </c>
      <c r="AA21" s="582">
        <f>debtP*Debt_Rate</f>
        <v>2.0000000000000004E-2</v>
      </c>
      <c r="AB21" s="582">
        <f ca="1">+AA21+Z21</f>
        <v>0.21921583237104381</v>
      </c>
      <c r="AC21" s="582">
        <f ca="1">+AB21/(S21/100)</f>
        <v>7.7974856504721676E-2</v>
      </c>
      <c r="AD21" s="582">
        <f ca="1">1-AC21</f>
        <v>0.92202514349527831</v>
      </c>
      <c r="AE21" s="579">
        <f ca="1">expenses/(AD21)</f>
        <v>191053.98740351465</v>
      </c>
      <c r="AF21" s="581">
        <f ca="1">+AE21-Revenue</f>
        <v>33824.343272571277</v>
      </c>
      <c r="AG21" s="580">
        <f ca="1">+AF21/$J$49</f>
        <v>37503.788235623484</v>
      </c>
      <c r="AH21" s="580">
        <f ca="1">+AG21*$J$47</f>
        <v>847.58561412509084</v>
      </c>
      <c r="AI21" s="579">
        <f ca="1">ROUND(+AH21+AE21,5)</f>
        <v>191901.57302000001</v>
      </c>
    </row>
    <row r="22" spans="1:35" ht="16.5" thickTop="1">
      <c r="A22" s="468"/>
      <c r="B22" s="468" t="s">
        <v>1206</v>
      </c>
      <c r="C22" s="468"/>
      <c r="D22" s="468"/>
      <c r="E22" s="468"/>
      <c r="F22" s="505">
        <f t="shared" si="0"/>
        <v>16</v>
      </c>
      <c r="G22" s="506"/>
      <c r="H22" s="460"/>
      <c r="I22" s="516"/>
      <c r="J22" s="750" t="s">
        <v>1479</v>
      </c>
      <c r="K22" s="749">
        <f ca="1">+(J21/J19)-1</f>
        <v>0.21764041546641755</v>
      </c>
      <c r="L22" s="516"/>
      <c r="M22" s="515"/>
      <c r="O22" s="468"/>
      <c r="P22" s="468"/>
      <c r="R22" s="544">
        <v>2</v>
      </c>
      <c r="S22" s="539">
        <f ca="1">AI17/Investment*100</f>
        <v>280.74102970670629</v>
      </c>
      <c r="T22" s="543">
        <f ca="1">EXP(y_inter2-(slope*LN(+S22)))</f>
        <v>6.3861170653884463</v>
      </c>
      <c r="U22" s="537">
        <f ca="1">(+S22*T22/100)/100</f>
        <v>0.1792845080764722</v>
      </c>
      <c r="V22" s="537">
        <f>regDebt_weighted</f>
        <v>3.5860000000000003E-2</v>
      </c>
      <c r="W22" s="537">
        <f ca="1">+U22-V22</f>
        <v>0.1434245080764722</v>
      </c>
      <c r="X22" s="537">
        <f ca="1">+((W22*(1-0.34))-Pfd_weighted)/Equity_percent</f>
        <v>0.25718074223974313</v>
      </c>
      <c r="Y22" s="537">
        <f ca="1">+X22*equityP</f>
        <v>0.15430844534384588</v>
      </c>
      <c r="Z22" s="537">
        <f ca="1">+Y22/(1-taxrate)</f>
        <v>0.1953271460048682</v>
      </c>
      <c r="AA22" s="537">
        <f>debtP*Debt_Rate</f>
        <v>2.0000000000000004E-2</v>
      </c>
      <c r="AB22" s="537">
        <f ca="1">+AA22+Z22</f>
        <v>0.21532714600486819</v>
      </c>
      <c r="AC22" s="537">
        <f ca="1">+AB22/(S22/100)</f>
        <v>7.6699564089304367E-2</v>
      </c>
      <c r="AD22" s="537">
        <f ca="1">1-AC22</f>
        <v>0.92330043591069566</v>
      </c>
      <c r="AE22" s="534">
        <f ca="1">expenses/(AD22)</f>
        <v>190790.09745870961</v>
      </c>
      <c r="AF22" s="536">
        <f ca="1">+AE22-Revenue</f>
        <v>33560.453327766241</v>
      </c>
      <c r="AG22" s="535">
        <f ca="1">+AF22/$J$49</f>
        <v>37211.192085929601</v>
      </c>
      <c r="AH22" s="535">
        <f ca="1">+AG22*$J$47</f>
        <v>840.97294114200906</v>
      </c>
      <c r="AI22" s="534">
        <f ca="1">ROUND(+AH22+AE22,5)</f>
        <v>191631.0704</v>
      </c>
    </row>
    <row r="23" spans="1:35" ht="15.75">
      <c r="A23" s="468"/>
      <c r="B23" s="468" t="s">
        <v>1205</v>
      </c>
      <c r="C23" s="468"/>
      <c r="D23" s="468"/>
      <c r="E23" s="468"/>
      <c r="F23" s="505">
        <f t="shared" si="0"/>
        <v>17</v>
      </c>
      <c r="H23" s="506"/>
      <c r="I23" s="506"/>
      <c r="J23" s="506"/>
      <c r="K23" s="506"/>
      <c r="L23" s="506"/>
      <c r="M23" s="506"/>
      <c r="N23" s="506"/>
      <c r="O23" s="468"/>
      <c r="P23" s="468"/>
      <c r="R23" s="512">
        <v>3</v>
      </c>
      <c r="S23" s="539">
        <f ca="1">AI18/Investment*100</f>
        <v>280.47472642687353</v>
      </c>
      <c r="T23" s="540">
        <f ca="1">EXP(y_inter3-(slope*LN(S23)))</f>
        <v>6.3281329761331202</v>
      </c>
      <c r="U23" s="537">
        <f ca="1">(+S23*T23/100)/100</f>
        <v>0.17748813652738138</v>
      </c>
      <c r="V23" s="537">
        <f>regDebt_weighted</f>
        <v>3.5860000000000003E-2</v>
      </c>
      <c r="W23" s="537">
        <f ca="1">+U23-V23</f>
        <v>0.14162813652738138</v>
      </c>
      <c r="X23" s="537">
        <f ca="1">+((W23*(1-0.34))-Pfd_weighted)/Equity_percent</f>
        <v>0.253734215430441</v>
      </c>
      <c r="Y23" s="537">
        <f ca="1">+X23*equityP</f>
        <v>0.15224052925826459</v>
      </c>
      <c r="Z23" s="537">
        <f ca="1">+Y23/(1-taxrate)</f>
        <v>0.19270953070666402</v>
      </c>
      <c r="AA23" s="537">
        <f>debtP*Debt_Rate</f>
        <v>2.0000000000000004E-2</v>
      </c>
      <c r="AB23" s="537">
        <f ca="1">+AA23+Z23</f>
        <v>0.21270953070666404</v>
      </c>
      <c r="AC23" s="537">
        <f ca="1">+AB23/(S23/100)</f>
        <v>7.5839108006803782E-2</v>
      </c>
      <c r="AD23" s="537">
        <f ca="1">1-AC23</f>
        <v>0.92416089199319618</v>
      </c>
      <c r="AE23" s="534">
        <f ca="1">expenses/(AD23)</f>
        <v>190612.45901797756</v>
      </c>
      <c r="AF23" s="536">
        <f ca="1">+AE23-Revenue</f>
        <v>33382.814887034183</v>
      </c>
      <c r="AG23" s="535">
        <f ca="1">+AF23/$J$49</f>
        <v>37014.229962820951</v>
      </c>
      <c r="AH23" s="535">
        <f ca="1">+AG23*$J$47</f>
        <v>836.52159715975358</v>
      </c>
      <c r="AI23" s="534">
        <f ca="1">ROUND(+AH23+AE23,5)</f>
        <v>191448.98061999999</v>
      </c>
    </row>
    <row r="24" spans="1:35" ht="15.75">
      <c r="A24" s="468"/>
      <c r="B24" s="468" t="s">
        <v>1204</v>
      </c>
      <c r="C24" s="468"/>
      <c r="D24" s="468"/>
      <c r="E24" s="468"/>
      <c r="F24" s="505">
        <f t="shared" si="0"/>
        <v>18</v>
      </c>
      <c r="H24" s="501"/>
      <c r="J24" s="564" t="s">
        <v>1203</v>
      </c>
      <c r="K24" s="563" t="s">
        <v>1202</v>
      </c>
      <c r="L24" s="563"/>
      <c r="M24" s="563"/>
      <c r="N24" s="563"/>
      <c r="O24" s="468"/>
      <c r="P24" s="468"/>
      <c r="R24" s="518">
        <v>4</v>
      </c>
      <c r="S24" s="539">
        <f ca="1">AI19/Investment*100</f>
        <v>280.30443810072188</v>
      </c>
      <c r="T24" s="538">
        <f ca="1">EXP(y_inter4-(slope*LN(S24)))</f>
        <v>6.2910026122929947</v>
      </c>
      <c r="U24" s="537">
        <f ca="1">(+S24*T24/100)/100</f>
        <v>0.17633959523289616</v>
      </c>
      <c r="V24" s="537">
        <f>regDebt_weighted</f>
        <v>3.5860000000000003E-2</v>
      </c>
      <c r="W24" s="537">
        <f ca="1">+U24-V24</f>
        <v>0.14047959523289616</v>
      </c>
      <c r="X24" s="537">
        <f ca="1">+((W24*(1-0.34))-Pfd_weighted)/Equity_percent</f>
        <v>0.25153061876078914</v>
      </c>
      <c r="Y24" s="537">
        <f ca="1">+X24*equityP</f>
        <v>0.15091837125647348</v>
      </c>
      <c r="Z24" s="537">
        <f ca="1">+Y24/(1-taxrate)</f>
        <v>0.19103591298287781</v>
      </c>
      <c r="AA24" s="537">
        <f>debtP*Debt_Rate</f>
        <v>2.0000000000000004E-2</v>
      </c>
      <c r="AB24" s="537">
        <f ca="1">+AA24+Z24</f>
        <v>0.21103591298287783</v>
      </c>
      <c r="AC24" s="537">
        <f ca="1">+AB24/(S24/100)</f>
        <v>7.5288109746962414E-2</v>
      </c>
      <c r="AD24" s="537">
        <f ca="1">1-AC24</f>
        <v>0.92471189025303757</v>
      </c>
      <c r="AE24" s="534">
        <f ca="1">expenses/(AD24)</f>
        <v>190498.88079504127</v>
      </c>
      <c r="AF24" s="536">
        <f ca="1">+AE24-Revenue</f>
        <v>33269.236664097902</v>
      </c>
      <c r="AG24" s="535">
        <f ca="1">+AF24/$J$49</f>
        <v>36888.296590313024</v>
      </c>
      <c r="AH24" s="535">
        <f ca="1">+AG24*$J$47</f>
        <v>833.67550294107446</v>
      </c>
      <c r="AI24" s="534">
        <f ca="1">ROUND(+AH24+AE24,5)</f>
        <v>191332.5563</v>
      </c>
    </row>
    <row r="25" spans="1:35" ht="15.75">
      <c r="A25" s="468"/>
      <c r="B25" s="468" t="s">
        <v>1201</v>
      </c>
      <c r="C25" s="468"/>
      <c r="D25" s="468"/>
      <c r="E25" s="468"/>
      <c r="F25" s="505">
        <f t="shared" si="0"/>
        <v>19</v>
      </c>
      <c r="H25" s="561" t="s">
        <v>1200</v>
      </c>
      <c r="I25" s="562" t="s">
        <v>451</v>
      </c>
      <c r="J25" s="560" t="s">
        <v>107</v>
      </c>
      <c r="K25" s="561" t="s">
        <v>1199</v>
      </c>
      <c r="L25" s="560" t="s">
        <v>1183</v>
      </c>
      <c r="M25" s="560" t="s">
        <v>107</v>
      </c>
      <c r="O25" s="468"/>
      <c r="P25" s="468"/>
      <c r="R25" s="450" t="s">
        <v>1198</v>
      </c>
      <c r="W25" s="456"/>
      <c r="X25" s="454"/>
      <c r="Y25" s="453"/>
      <c r="Z25" s="453"/>
      <c r="AA25" s="454"/>
      <c r="AC25" s="454"/>
      <c r="AD25" s="454"/>
      <c r="AE25" s="453"/>
      <c r="AF25" s="456"/>
    </row>
    <row r="26" spans="1:35" ht="15.75">
      <c r="A26" s="468"/>
      <c r="B26" s="468"/>
      <c r="C26" s="468"/>
      <c r="D26" s="468"/>
      <c r="E26" s="468"/>
      <c r="F26" s="505">
        <f t="shared" si="0"/>
        <v>20</v>
      </c>
      <c r="H26" s="554" t="s">
        <v>1176</v>
      </c>
      <c r="I26" s="555">
        <f>1-I27</f>
        <v>0.6</v>
      </c>
      <c r="J26" s="559">
        <f>+I26*J28</f>
        <v>40956.901495347513</v>
      </c>
      <c r="K26" s="556">
        <f ca="1">+K34</f>
        <v>0.25250342507465146</v>
      </c>
      <c r="L26" s="555">
        <f ca="1">+K26*I26</f>
        <v>0.15150205504479086</v>
      </c>
      <c r="M26" s="558">
        <f ca="1">+J26*K26</f>
        <v>10341.757908020361</v>
      </c>
      <c r="O26" s="468"/>
      <c r="P26" s="468"/>
      <c r="R26" s="585">
        <v>1</v>
      </c>
      <c r="S26" s="584">
        <f ca="1">AI21/Investment*100</f>
        <v>281.12708629845793</v>
      </c>
      <c r="T26" s="583">
        <f ca="1">EXP(y_inter1-(slope*LN(+S26)))</f>
        <v>6.4722055135456236</v>
      </c>
      <c r="U26" s="582">
        <f ca="1">(+S26*T26/100)/100</f>
        <v>0.18195122779478956</v>
      </c>
      <c r="V26" s="582">
        <f>regDebt_weighted</f>
        <v>3.5860000000000003E-2</v>
      </c>
      <c r="W26" s="582">
        <f ca="1">+U26-V26</f>
        <v>0.14609122779478956</v>
      </c>
      <c r="X26" s="582">
        <f ca="1">+((W26*(1-0.34))-Pfd_weighted)/Equity_percent</f>
        <v>0.26229712309465436</v>
      </c>
      <c r="Y26" s="582">
        <f ca="1">+X26*equityP</f>
        <v>0.15737827385679262</v>
      </c>
      <c r="Z26" s="582">
        <f ca="1">+Y26/(1-taxrate)</f>
        <v>0.19921300488201596</v>
      </c>
      <c r="AA26" s="582">
        <f>debtP*Debt_Rate</f>
        <v>2.0000000000000004E-2</v>
      </c>
      <c r="AB26" s="582">
        <f ca="1">+AA26+Z26</f>
        <v>0.21921300488201595</v>
      </c>
      <c r="AC26" s="582">
        <f ca="1">+AB26/(S26/100)</f>
        <v>7.7976479523317418E-2</v>
      </c>
      <c r="AD26" s="582">
        <f ca="1">1-AC26</f>
        <v>0.92202352047668257</v>
      </c>
      <c r="AE26" s="579">
        <f ca="1">expenses/(AD26)</f>
        <v>191054.32371182725</v>
      </c>
      <c r="AF26" s="581">
        <f ca="1">+AE26-Revenue</f>
        <v>33824.67958088388</v>
      </c>
      <c r="AG26" s="580">
        <f ca="1">+AF26/$J$49</f>
        <v>37504.161127881467</v>
      </c>
      <c r="AH26" s="580">
        <f ca="1">+AG26*$J$47</f>
        <v>847.59404149012119</v>
      </c>
      <c r="AI26" s="579">
        <f ca="1">ROUND(+AH26+AE26,5)</f>
        <v>191901.91774999999</v>
      </c>
    </row>
    <row r="27" spans="1:35" ht="15.75">
      <c r="A27" s="468"/>
      <c r="B27" s="468"/>
      <c r="C27" s="468"/>
      <c r="D27" s="468"/>
      <c r="E27" s="468"/>
      <c r="F27" s="505">
        <f t="shared" si="0"/>
        <v>21</v>
      </c>
      <c r="H27" s="554" t="s">
        <v>1180</v>
      </c>
      <c r="I27" s="555">
        <f>IF(A65=TRUE,C8,0)</f>
        <v>0.4</v>
      </c>
      <c r="J27" s="557">
        <f>+I27*J28</f>
        <v>27304.600996898342</v>
      </c>
      <c r="K27" s="556">
        <f>IF(A65=TRUE,C9,0)</f>
        <v>0.05</v>
      </c>
      <c r="L27" s="555">
        <f>+K27*I27</f>
        <v>2.0000000000000004E-2</v>
      </c>
      <c r="M27" s="507">
        <f>+K27*J27</f>
        <v>1365.2300498449172</v>
      </c>
      <c r="O27" s="468"/>
      <c r="P27" s="468"/>
      <c r="R27" s="544">
        <v>2</v>
      </c>
      <c r="S27" s="539">
        <f ca="1">AI22/Investment*100</f>
        <v>280.73081224921509</v>
      </c>
      <c r="T27" s="543">
        <f ca="1">EXP(y_inter2-(slope*LN(+S27)))</f>
        <v>6.386275968958989</v>
      </c>
      <c r="U27" s="537">
        <f ca="1">(+S27*T27/100)/100</f>
        <v>0.17928244400134999</v>
      </c>
      <c r="V27" s="537">
        <f>regDebt_weighted</f>
        <v>3.5860000000000003E-2</v>
      </c>
      <c r="W27" s="537">
        <f ca="1">+U27-V27</f>
        <v>0.14342244400134999</v>
      </c>
      <c r="X27" s="537">
        <f ca="1">+((W27*(1-0.34))-Pfd_weighted)/Equity_percent</f>
        <v>0.25717678209561334</v>
      </c>
      <c r="Y27" s="537">
        <f ca="1">+X27*equityP</f>
        <v>0.15430606925736801</v>
      </c>
      <c r="Z27" s="537">
        <f ca="1">+Y27/(1-taxrate)</f>
        <v>0.19532413830046583</v>
      </c>
      <c r="AA27" s="537">
        <f>debtP*Debt_Rate</f>
        <v>2.0000000000000004E-2</v>
      </c>
      <c r="AB27" s="537">
        <f ca="1">+AA27+Z27</f>
        <v>0.21532413830046582</v>
      </c>
      <c r="AC27" s="537">
        <f ca="1">+AB27/(S27/100)</f>
        <v>7.6701284257074939E-2</v>
      </c>
      <c r="AD27" s="537">
        <f ca="1">1-AC27</f>
        <v>0.9232987157429251</v>
      </c>
      <c r="AE27" s="534">
        <f ca="1">expenses/(AD27)</f>
        <v>190790.4529135272</v>
      </c>
      <c r="AF27" s="536">
        <f ca="1">+AE27-Revenue</f>
        <v>33560.80878258383</v>
      </c>
      <c r="AG27" s="535">
        <f ca="1">+AF27/$J$49</f>
        <v>37211.586207468012</v>
      </c>
      <c r="AH27" s="535">
        <f ca="1">+AG27*$J$47</f>
        <v>840.98184828877709</v>
      </c>
      <c r="AI27" s="534">
        <f ca="1">ROUND(+AH27+AE27,5)</f>
        <v>191631.43476</v>
      </c>
    </row>
    <row r="28" spans="1:35" ht="16.5" thickBot="1">
      <c r="A28" s="468"/>
      <c r="B28" s="468"/>
      <c r="C28" s="468"/>
      <c r="D28" s="468"/>
      <c r="E28" s="468"/>
      <c r="F28" s="505">
        <f t="shared" si="0"/>
        <v>22</v>
      </c>
      <c r="H28" s="554" t="s">
        <v>2</v>
      </c>
      <c r="I28" s="553">
        <f>SUM(I26:I27)</f>
        <v>1</v>
      </c>
      <c r="J28" s="513">
        <f>IF(A65=TRUE,C7,0)</f>
        <v>68261.502492245854</v>
      </c>
      <c r="K28" s="552"/>
      <c r="L28" s="551">
        <f ca="1">SUM(L26:L27)</f>
        <v>0.17150205504479088</v>
      </c>
      <c r="M28" s="513">
        <f ca="1">SUM(M26:M27)</f>
        <v>11706.987957865278</v>
      </c>
      <c r="O28" s="468"/>
      <c r="P28" s="468"/>
      <c r="R28" s="512">
        <v>3</v>
      </c>
      <c r="S28" s="539">
        <f ca="1">AI23/Investment*100</f>
        <v>280.4640589939367</v>
      </c>
      <c r="T28" s="540">
        <f ca="1">EXP(y_inter3-(slope*LN(S28)))</f>
        <v>6.328297527772488</v>
      </c>
      <c r="U28" s="537">
        <f ca="1">(+S28*T28/100)/100</f>
        <v>0.17748600111603668</v>
      </c>
      <c r="V28" s="537">
        <f>regDebt_weighted</f>
        <v>3.5860000000000003E-2</v>
      </c>
      <c r="W28" s="537">
        <f ca="1">+U28-V28</f>
        <v>0.14162600111603668</v>
      </c>
      <c r="X28" s="537">
        <f ca="1">+((W28*(1-0.34))-Pfd_weighted)/Equity_percent</f>
        <v>0.25373011842030291</v>
      </c>
      <c r="Y28" s="537">
        <f ca="1">+X28*equityP</f>
        <v>0.15223807105218173</v>
      </c>
      <c r="Z28" s="537">
        <f ca="1">+Y28/(1-taxrate)</f>
        <v>0.19270641905339458</v>
      </c>
      <c r="AA28" s="537">
        <f>debtP*Debt_Rate</f>
        <v>2.0000000000000004E-2</v>
      </c>
      <c r="AB28" s="537">
        <f ca="1">+AA28+Z28</f>
        <v>0.2127064190533946</v>
      </c>
      <c r="AC28" s="537">
        <f ca="1">+AB28/(S28/100)</f>
        <v>7.5840883076570262E-2</v>
      </c>
      <c r="AD28" s="537">
        <f ca="1">1-AC28</f>
        <v>0.92415911692342978</v>
      </c>
      <c r="AE28" s="534">
        <f ca="1">expenses/(AD28)</f>
        <v>190612.82513503134</v>
      </c>
      <c r="AF28" s="536">
        <f ca="1">+AE28-Revenue</f>
        <v>33383.181004087965</v>
      </c>
      <c r="AG28" s="535">
        <f ca="1">+AF28/$J$49</f>
        <v>37014.635906443975</v>
      </c>
      <c r="AH28" s="535">
        <f ca="1">+AG28*$J$47</f>
        <v>836.53077148563386</v>
      </c>
      <c r="AI28" s="534">
        <f ca="1">ROUND(+AH28+AE28,5)</f>
        <v>191449.35591000001</v>
      </c>
    </row>
    <row r="29" spans="1:35" ht="16.5" thickTop="1">
      <c r="A29" s="468"/>
      <c r="B29" s="468"/>
      <c r="C29" s="468"/>
      <c r="D29" s="468"/>
      <c r="E29" s="468"/>
      <c r="F29" s="505">
        <f t="shared" si="0"/>
        <v>23</v>
      </c>
      <c r="G29" s="506"/>
      <c r="H29" s="506"/>
      <c r="I29" s="506"/>
      <c r="J29" s="506"/>
      <c r="K29" s="506"/>
      <c r="L29" s="506"/>
      <c r="M29" s="506"/>
      <c r="N29" s="506"/>
      <c r="O29" s="468"/>
      <c r="P29" s="468"/>
      <c r="R29" s="518">
        <v>4</v>
      </c>
      <c r="S29" s="539">
        <f ca="1">AI24/Investment*100</f>
        <v>280.29350265434658</v>
      </c>
      <c r="T29" s="538">
        <f ca="1">EXP(y_inter4-(slope*LN(S29)))</f>
        <v>6.2911704104526418</v>
      </c>
      <c r="U29" s="537">
        <f ca="1">(+S29*T29/100)/100</f>
        <v>0.17633741901411543</v>
      </c>
      <c r="V29" s="537">
        <f>regDebt_weighted</f>
        <v>3.5860000000000003E-2</v>
      </c>
      <c r="W29" s="537">
        <f ca="1">+U29-V29</f>
        <v>0.14047741901411542</v>
      </c>
      <c r="X29" s="537">
        <f ca="1">+((W29*(1-0.34))-Pfd_weighted)/Equity_percent</f>
        <v>0.25152644345731445</v>
      </c>
      <c r="Y29" s="537">
        <f ca="1">+X29*equityP</f>
        <v>0.15091586607438867</v>
      </c>
      <c r="Z29" s="537">
        <f ca="1">+Y29/(1-taxrate)</f>
        <v>0.19103274186631478</v>
      </c>
      <c r="AA29" s="537">
        <f>debtP*Debt_Rate</f>
        <v>2.0000000000000004E-2</v>
      </c>
      <c r="AB29" s="537">
        <f ca="1">+AA29+Z29</f>
        <v>0.21103274186631477</v>
      </c>
      <c r="AC29" s="537">
        <f ca="1">+AB29/(S29/100)</f>
        <v>7.5289915701883731E-2</v>
      </c>
      <c r="AD29" s="537">
        <f ca="1">1-AC29</f>
        <v>0.9247100842981163</v>
      </c>
      <c r="AE29" s="534">
        <f ca="1">expenses/(AD29)</f>
        <v>190499.25283855753</v>
      </c>
      <c r="AF29" s="536">
        <f ca="1">+AE29-Revenue</f>
        <v>33269.608707614156</v>
      </c>
      <c r="AG29" s="535">
        <f ca="1">+AF29/$J$49</f>
        <v>36888.709105084876</v>
      </c>
      <c r="AH29" s="535">
        <f ca="1">+AG29*$J$47</f>
        <v>833.68482577491829</v>
      </c>
      <c r="AI29" s="534">
        <f ca="1">ROUND(+AH29+AE29,5)</f>
        <v>191332.93766</v>
      </c>
    </row>
    <row r="30" spans="1:35" ht="15.75">
      <c r="A30" s="468"/>
      <c r="B30" s="468"/>
      <c r="C30" s="468"/>
      <c r="D30" s="468"/>
      <c r="E30" s="468"/>
      <c r="F30" s="505">
        <f t="shared" si="0"/>
        <v>24</v>
      </c>
      <c r="G30" s="506"/>
      <c r="H30" s="506"/>
      <c r="I30" s="506"/>
      <c r="J30" s="550" t="s">
        <v>1197</v>
      </c>
      <c r="K30" s="550" t="s">
        <v>1196</v>
      </c>
      <c r="L30" s="506"/>
      <c r="M30" s="506"/>
      <c r="N30" s="506"/>
      <c r="O30" s="468"/>
      <c r="P30" s="468"/>
      <c r="R30" s="450" t="s">
        <v>1195</v>
      </c>
      <c r="W30" s="456"/>
      <c r="X30" s="454"/>
      <c r="Y30" s="453"/>
      <c r="Z30" s="453"/>
      <c r="AA30" s="454"/>
      <c r="AC30" s="454"/>
      <c r="AD30" s="454"/>
      <c r="AE30" s="453"/>
      <c r="AF30" s="456"/>
      <c r="AH30" s="453"/>
    </row>
    <row r="31" spans="1:35" ht="15.75">
      <c r="A31" s="468"/>
      <c r="B31" s="468"/>
      <c r="C31" s="468"/>
      <c r="D31" s="468"/>
      <c r="E31" s="468"/>
      <c r="F31" s="505">
        <f t="shared" si="0"/>
        <v>25</v>
      </c>
      <c r="G31" s="506"/>
      <c r="H31" s="533" t="s">
        <v>1174</v>
      </c>
      <c r="I31" s="549"/>
      <c r="J31" s="548" t="s">
        <v>1194</v>
      </c>
      <c r="K31" s="548" t="s">
        <v>1194</v>
      </c>
      <c r="L31" s="506"/>
      <c r="M31" s="506"/>
      <c r="N31" s="506"/>
      <c r="O31" s="468"/>
      <c r="P31" s="468"/>
      <c r="R31" s="585">
        <v>1</v>
      </c>
      <c r="S31" s="584">
        <f ca="1">AI26/Investment*100</f>
        <v>281.12759131224669</v>
      </c>
      <c r="T31" s="583">
        <f ca="1">EXP(y_inter1-(slope*LN(+S31)))</f>
        <v>6.4721975647979617</v>
      </c>
      <c r="U31" s="582">
        <f ca="1">(+S31*T31/100)/100</f>
        <v>0.18195133118886397</v>
      </c>
      <c r="V31" s="582">
        <f>regDebt_weighted</f>
        <v>3.5860000000000003E-2</v>
      </c>
      <c r="W31" s="582">
        <f ca="1">+U31-V31</f>
        <v>0.14609133118886397</v>
      </c>
      <c r="X31" s="582">
        <f ca="1">+((W31*(1-0.34))-Pfd_weighted)/Equity_percent</f>
        <v>0.26229732146700646</v>
      </c>
      <c r="Y31" s="582">
        <f ca="1">+X31*equityP</f>
        <v>0.15737839288020386</v>
      </c>
      <c r="Z31" s="582">
        <f ca="1">+Y31/(1-taxrate)</f>
        <v>0.19921315554456184</v>
      </c>
      <c r="AA31" s="582">
        <f>debtP*Debt_Rate</f>
        <v>2.0000000000000004E-2</v>
      </c>
      <c r="AB31" s="582">
        <f ca="1">+AA31+Z31</f>
        <v>0.21921315554456183</v>
      </c>
      <c r="AC31" s="582">
        <f ca="1">+AB31/(S31/100)</f>
        <v>7.7976393039658337E-2</v>
      </c>
      <c r="AD31" s="582">
        <f ca="1">1-AC31</f>
        <v>0.92202360696034169</v>
      </c>
      <c r="AE31" s="579">
        <f ca="1">expenses/(AD31)</f>
        <v>191054.30579137828</v>
      </c>
      <c r="AF31" s="581">
        <f ca="1">+AE31-Revenue</f>
        <v>33824.661660434911</v>
      </c>
      <c r="AG31" s="580">
        <f ca="1">+AF31/$J$49</f>
        <v>37504.141258028627</v>
      </c>
      <c r="AH31" s="580">
        <f ca="1">+AG31*$J$47</f>
        <v>847.59359243144706</v>
      </c>
      <c r="AI31" s="579">
        <f ca="1">ROUND(+AH31+AE31,5)</f>
        <v>191901.89937999999</v>
      </c>
    </row>
    <row r="32" spans="1:35" ht="15.75">
      <c r="A32" s="468"/>
      <c r="B32" s="468"/>
      <c r="C32" s="468"/>
      <c r="D32" s="468"/>
      <c r="E32" s="468"/>
      <c r="F32" s="505">
        <f t="shared" si="0"/>
        <v>26</v>
      </c>
      <c r="G32" s="506"/>
      <c r="H32" s="510"/>
      <c r="I32" s="510"/>
      <c r="J32" s="510"/>
      <c r="K32" s="510"/>
      <c r="L32" s="506"/>
      <c r="M32" s="506"/>
      <c r="N32" s="506"/>
      <c r="O32" s="468"/>
      <c r="P32" s="468"/>
      <c r="R32" s="544">
        <v>2</v>
      </c>
      <c r="S32" s="539">
        <f ca="1">AI27/Investment*100</f>
        <v>280.73134602006206</v>
      </c>
      <c r="T32" s="543">
        <f ca="1">EXP(y_inter2-(slope*LN(+S32)))</f>
        <v>6.3862676674263872</v>
      </c>
      <c r="U32" s="537">
        <f ca="1">(+S32*T32/100)/100</f>
        <v>0.17928255183210115</v>
      </c>
      <c r="V32" s="537">
        <f>regDebt_weighted</f>
        <v>3.5860000000000003E-2</v>
      </c>
      <c r="W32" s="537">
        <f ca="1">+U32-V32</f>
        <v>0.14342255183210115</v>
      </c>
      <c r="X32" s="537">
        <f ca="1">+((W32*(1-0.34))-Pfd_weighted)/Equity_percent</f>
        <v>0.25717698898019403</v>
      </c>
      <c r="Y32" s="537">
        <f ca="1">+X32*equityP</f>
        <v>0.15430619338811641</v>
      </c>
      <c r="Z32" s="537">
        <f ca="1">+Y32/(1-taxrate)</f>
        <v>0.19532429542799545</v>
      </c>
      <c r="AA32" s="537">
        <f>debtP*Debt_Rate</f>
        <v>2.0000000000000004E-2</v>
      </c>
      <c r="AB32" s="537">
        <f ca="1">+AA32+Z32</f>
        <v>0.21532429542799547</v>
      </c>
      <c r="AC32" s="537">
        <f ca="1">+AB32/(S32/100)</f>
        <v>7.6701194391241095E-2</v>
      </c>
      <c r="AD32" s="537">
        <f ca="1">1-AC32</f>
        <v>0.92329880560875888</v>
      </c>
      <c r="AE32" s="534">
        <f ca="1">expenses/(AD32)</f>
        <v>190790.43434365251</v>
      </c>
      <c r="AF32" s="536">
        <f ca="1">+AE32-Revenue</f>
        <v>33560.790212709137</v>
      </c>
      <c r="AG32" s="535">
        <f ca="1">+AF32/$J$49</f>
        <v>37211.565617544285</v>
      </c>
      <c r="AH32" s="535">
        <f ca="1">+AG32*$J$47</f>
        <v>840.98138295650097</v>
      </c>
      <c r="AI32" s="534">
        <f ca="1">ROUND(+AH32+AE32,5)</f>
        <v>191631.41573000001</v>
      </c>
    </row>
    <row r="33" spans="1:46" ht="15.75">
      <c r="A33" s="468"/>
      <c r="B33" s="468"/>
      <c r="C33" s="468"/>
      <c r="D33" s="468"/>
      <c r="E33" s="468"/>
      <c r="F33" s="505">
        <f t="shared" si="0"/>
        <v>27</v>
      </c>
      <c r="G33" s="506"/>
      <c r="H33" s="510" t="s">
        <v>1171</v>
      </c>
      <c r="I33" s="510"/>
      <c r="J33" s="542">
        <f ca="1">+K9/J28</f>
        <v>0.21177475322125427</v>
      </c>
      <c r="K33" s="542">
        <f ca="1">+(M14+M11)/J28</f>
        <v>0.17150205504479088</v>
      </c>
      <c r="L33" s="506"/>
      <c r="M33" s="506"/>
      <c r="N33" s="506"/>
      <c r="O33" s="468"/>
      <c r="P33" s="468"/>
      <c r="R33" s="512">
        <v>3</v>
      </c>
      <c r="S33" s="539">
        <f ca="1">AI28/Investment*100</f>
        <v>280.46460877673718</v>
      </c>
      <c r="T33" s="540">
        <f ca="1">EXP(y_inter3-(slope*LN(S33)))</f>
        <v>6.3282890467809478</v>
      </c>
      <c r="U33" s="537">
        <f ca="1">(+S33*T33/100)/100</f>
        <v>0.17748611117315297</v>
      </c>
      <c r="V33" s="537">
        <f>regDebt_weighted</f>
        <v>3.5860000000000003E-2</v>
      </c>
      <c r="W33" s="537">
        <f ca="1">+U33-V33</f>
        <v>0.14162611117315296</v>
      </c>
      <c r="X33" s="537">
        <f ca="1">+((W33*(1-0.34))-Pfd_weighted)/Equity_percent</f>
        <v>0.25373032957639813</v>
      </c>
      <c r="Y33" s="537">
        <f ca="1">+X33*equityP</f>
        <v>0.15223819774583888</v>
      </c>
      <c r="Z33" s="537">
        <f ca="1">+Y33/(1-taxrate)</f>
        <v>0.19270657942511249</v>
      </c>
      <c r="AA33" s="537">
        <f>debtP*Debt_Rate</f>
        <v>2.0000000000000004E-2</v>
      </c>
      <c r="AB33" s="537">
        <f ca="1">+AA33+Z33</f>
        <v>0.21270657942511251</v>
      </c>
      <c r="AC33" s="537">
        <f ca="1">+AB33/(S33/100)</f>
        <v>7.5840791589657133E-2</v>
      </c>
      <c r="AD33" s="537">
        <f ca="1">1-AC33</f>
        <v>0.92415920841034283</v>
      </c>
      <c r="AE33" s="534">
        <f ca="1">expenses/(AD33)</f>
        <v>190612.80626536169</v>
      </c>
      <c r="AF33" s="536">
        <f ca="1">+AE33-Revenue</f>
        <v>33383.162134418322</v>
      </c>
      <c r="AG33" s="535">
        <f ca="1">+AF33/$J$49</f>
        <v>37014.614984113316</v>
      </c>
      <c r="AH33" s="535">
        <f ca="1">+AG33*$J$47</f>
        <v>836.53029864096106</v>
      </c>
      <c r="AI33" s="534">
        <f ca="1">ROUND(+AH33+AE33,5)</f>
        <v>191449.33656</v>
      </c>
    </row>
    <row r="34" spans="1:46" ht="15.75">
      <c r="A34" s="468"/>
      <c r="B34" s="468"/>
      <c r="C34" s="468"/>
      <c r="D34" s="468"/>
      <c r="E34" s="468"/>
      <c r="F34" s="505">
        <f t="shared" si="0"/>
        <v>28</v>
      </c>
      <c r="G34" s="506"/>
      <c r="H34" s="510" t="s">
        <v>1170</v>
      </c>
      <c r="I34" s="510"/>
      <c r="J34" s="542">
        <f ca="1">+(M9-M11)/J26</f>
        <v>0.31962458870209043</v>
      </c>
      <c r="K34" s="542">
        <f ca="1">+M14/J26</f>
        <v>0.25250342507465146</v>
      </c>
      <c r="L34" s="506"/>
      <c r="M34" s="506"/>
      <c r="N34" s="506"/>
      <c r="O34" s="547"/>
      <c r="P34" s="468"/>
      <c r="R34" s="518">
        <v>4</v>
      </c>
      <c r="S34" s="539">
        <f ca="1">AI29/Investment*100</f>
        <v>280.29406132942125</v>
      </c>
      <c r="T34" s="538">
        <f ca="1">EXP(y_inter4-(slope*LN(S34)))</f>
        <v>6.2911618376365199</v>
      </c>
      <c r="U34" s="537">
        <f ca="1">(+S34*T34/100)/100</f>
        <v>0.17633753019518053</v>
      </c>
      <c r="V34" s="537">
        <f>regDebt_weighted</f>
        <v>3.5860000000000003E-2</v>
      </c>
      <c r="W34" s="537">
        <f ca="1">+U34-V34</f>
        <v>0.14047753019518053</v>
      </c>
      <c r="X34" s="537">
        <f ca="1">+((W34*(1-0.34))-Pfd_weighted)/Equity_percent</f>
        <v>0.25152665676982305</v>
      </c>
      <c r="Y34" s="537">
        <f ca="1">+X34*equityP</f>
        <v>0.15091599406189382</v>
      </c>
      <c r="Z34" s="537">
        <f ca="1">+Y34/(1-taxrate)</f>
        <v>0.19103290387581495</v>
      </c>
      <c r="AA34" s="537">
        <f>debtP*Debt_Rate</f>
        <v>2.0000000000000004E-2</v>
      </c>
      <c r="AB34" s="537">
        <f ca="1">+AA34+Z34</f>
        <v>0.21103290387581497</v>
      </c>
      <c r="AC34" s="537">
        <f ca="1">+AB34/(S34/100)</f>
        <v>7.5289823435750317E-2</v>
      </c>
      <c r="AD34" s="537">
        <f ca="1">1-AC34</f>
        <v>0.9247101765642497</v>
      </c>
      <c r="AE34" s="534">
        <f ca="1">expenses/(AD34)</f>
        <v>190499.23383084039</v>
      </c>
      <c r="AF34" s="536">
        <f ca="1">+AE34-Revenue</f>
        <v>33269.589699897013</v>
      </c>
      <c r="AG34" s="535">
        <f ca="1">+AF34/$J$49</f>
        <v>36888.688029689773</v>
      </c>
      <c r="AH34" s="535">
        <f ca="1">+AG34*$J$47</f>
        <v>833.68434947098888</v>
      </c>
      <c r="AI34" s="534">
        <f ca="1">ROUND(+AH34+AE34,5)</f>
        <v>191332.91818000001</v>
      </c>
    </row>
    <row r="35" spans="1:46" ht="15.75">
      <c r="A35" s="468"/>
      <c r="B35" s="468"/>
      <c r="C35" s="468"/>
      <c r="D35" s="468"/>
      <c r="E35" s="468"/>
      <c r="F35" s="505">
        <f t="shared" si="0"/>
        <v>29</v>
      </c>
      <c r="G35" s="506"/>
      <c r="H35" s="546" t="s">
        <v>1169</v>
      </c>
      <c r="I35" s="510"/>
      <c r="J35" s="542">
        <f ca="1">+K8/K7</f>
        <v>0.92415999999999998</v>
      </c>
      <c r="K35" s="542">
        <f ca="1">+M8/M7</f>
        <v>0.92449137854726804</v>
      </c>
      <c r="L35" s="506"/>
      <c r="M35" s="506"/>
      <c r="N35" s="506"/>
      <c r="O35" s="468"/>
      <c r="P35" s="468"/>
      <c r="R35" s="450" t="s">
        <v>1193</v>
      </c>
      <c r="X35" s="454"/>
      <c r="Y35" s="455"/>
      <c r="Z35" s="453"/>
      <c r="AA35" s="454"/>
      <c r="AC35" s="454"/>
      <c r="AD35" s="454"/>
      <c r="AE35" s="453"/>
      <c r="AF35" s="456"/>
      <c r="AH35" s="453"/>
    </row>
    <row r="36" spans="1:46" ht="15.75">
      <c r="A36" s="468"/>
      <c r="B36" s="468"/>
      <c r="C36" s="468"/>
      <c r="D36" s="468"/>
      <c r="E36" s="468"/>
      <c r="F36" s="505">
        <f t="shared" si="0"/>
        <v>30</v>
      </c>
      <c r="G36" s="506"/>
      <c r="H36" s="510" t="s">
        <v>1168</v>
      </c>
      <c r="I36" s="510"/>
      <c r="J36" s="542">
        <f ca="1">+K9/K7</f>
        <v>7.5840000000000019E-2</v>
      </c>
      <c r="K36" s="542">
        <f ca="1">+J36</f>
        <v>7.5840000000000019E-2</v>
      </c>
      <c r="L36" s="506"/>
      <c r="M36" s="506"/>
      <c r="N36" s="506"/>
      <c r="O36" s="468"/>
      <c r="P36" s="468"/>
      <c r="R36" s="585">
        <v>1</v>
      </c>
      <c r="S36" s="584">
        <f ca="1">AI31/Investment*100</f>
        <v>281.12756440103118</v>
      </c>
      <c r="T36" s="583">
        <f ca="1">EXP(y_inter1-(slope*LN(+S36)))</f>
        <v>6.4721979883708656</v>
      </c>
      <c r="U36" s="582">
        <f ca="1">(+S36*T36/100)/100</f>
        <v>0.1819513256791955</v>
      </c>
      <c r="V36" s="582">
        <f>regDebt_weighted</f>
        <v>3.5860000000000003E-2</v>
      </c>
      <c r="W36" s="582">
        <f ca="1">+U36-V36</f>
        <v>0.1460913256791955</v>
      </c>
      <c r="X36" s="582">
        <f ca="1">+((W36*(1-0.34))-Pfd_weighted)/Equity_percent</f>
        <v>0.2622973108961309</v>
      </c>
      <c r="Y36" s="582">
        <f ca="1">+X36*equityP</f>
        <v>0.15737838653767852</v>
      </c>
      <c r="Z36" s="582">
        <f ca="1">+Y36/(1-taxrate)</f>
        <v>0.19921314751604877</v>
      </c>
      <c r="AA36" s="582">
        <f>debtP*Debt_Rate</f>
        <v>2.0000000000000004E-2</v>
      </c>
      <c r="AB36" s="582">
        <f ca="1">+AA36+Z36</f>
        <v>0.21921314751604876</v>
      </c>
      <c r="AC36" s="582">
        <f ca="1">+AB36/(S36/100)</f>
        <v>7.7976397648200399E-2</v>
      </c>
      <c r="AD36" s="582">
        <f ca="1">1-AC36</f>
        <v>0.92202360235179959</v>
      </c>
      <c r="AE36" s="579">
        <f ca="1">expenses/(AD36)</f>
        <v>191054.30674632324</v>
      </c>
      <c r="AF36" s="581">
        <f ca="1">+AE36-Revenue</f>
        <v>33824.662615379872</v>
      </c>
      <c r="AG36" s="580">
        <f ca="1">+AF36/$J$49</f>
        <v>37504.142316853431</v>
      </c>
      <c r="AH36" s="580">
        <f ca="1">+AG36*$J$47</f>
        <v>847.59361636088761</v>
      </c>
      <c r="AI36" s="579">
        <f ca="1">ROUND(+AH36+AE36,5)</f>
        <v>191901.90036</v>
      </c>
    </row>
    <row r="37" spans="1:46" ht="15.75">
      <c r="A37" s="468"/>
      <c r="B37" s="468"/>
      <c r="C37" s="468"/>
      <c r="D37" s="468"/>
      <c r="E37" s="468"/>
      <c r="F37" s="505">
        <f t="shared" si="0"/>
        <v>31</v>
      </c>
      <c r="G37" s="506"/>
      <c r="H37" s="510" t="s">
        <v>1167</v>
      </c>
      <c r="I37" s="509"/>
      <c r="J37" s="545">
        <f ca="1">+S39/100</f>
        <v>2.8029403279210623</v>
      </c>
      <c r="K37" s="545">
        <f ca="1">+J37</f>
        <v>2.8029403279210623</v>
      </c>
      <c r="L37" s="506"/>
      <c r="M37" s="506"/>
      <c r="N37" s="506"/>
      <c r="O37" s="468"/>
      <c r="P37" s="468"/>
      <c r="R37" s="544">
        <v>2</v>
      </c>
      <c r="S37" s="539">
        <f ca="1">AI32/Investment*100</f>
        <v>280.7313181419766</v>
      </c>
      <c r="T37" s="543">
        <f ca="1">EXP(y_inter2-(slope*LN(+S37)))</f>
        <v>6.3862681010028668</v>
      </c>
      <c r="U37" s="537">
        <f ca="1">(+S37*T37/100)/100</f>
        <v>0.17928254620025924</v>
      </c>
      <c r="V37" s="537">
        <f>regDebt_weighted</f>
        <v>3.5860000000000003E-2</v>
      </c>
      <c r="W37" s="537">
        <f ca="1">+U37-V37</f>
        <v>0.14342254620025924</v>
      </c>
      <c r="X37" s="537">
        <f ca="1">+((W37*(1-0.34))-Pfd_weighted)/Equity_percent</f>
        <v>0.25717697817491597</v>
      </c>
      <c r="Y37" s="537">
        <f ca="1">+X37*equityP</f>
        <v>0.15430618690494957</v>
      </c>
      <c r="Z37" s="537">
        <f ca="1">+Y37/(1-taxrate)</f>
        <v>0.19532428722145515</v>
      </c>
      <c r="AA37" s="537">
        <f>debtP*Debt_Rate</f>
        <v>2.0000000000000004E-2</v>
      </c>
      <c r="AB37" s="537">
        <f ca="1">+AA37+Z37</f>
        <v>0.21532428722145514</v>
      </c>
      <c r="AC37" s="537">
        <f ca="1">+AB37/(S37/100)</f>
        <v>7.6701199084798E-2</v>
      </c>
      <c r="AD37" s="537">
        <f ca="1">1-AC37</f>
        <v>0.923298800915202</v>
      </c>
      <c r="AE37" s="534">
        <f ca="1">expenses/(AD37)</f>
        <v>190790.43531352896</v>
      </c>
      <c r="AF37" s="536">
        <f ca="1">+AE37-Revenue</f>
        <v>33560.791182585584</v>
      </c>
      <c r="AG37" s="535">
        <f ca="1">+AF37/$J$49</f>
        <v>37211.566692924833</v>
      </c>
      <c r="AH37" s="535">
        <f ca="1">+AG37*$J$47</f>
        <v>840.98140726010126</v>
      </c>
      <c r="AI37" s="534">
        <f ca="1">ROUND(+AH37+AE37,5)</f>
        <v>191631.41672000001</v>
      </c>
    </row>
    <row r="38" spans="1:46" ht="15.75">
      <c r="A38" s="468"/>
      <c r="B38" s="468"/>
      <c r="C38" s="468"/>
      <c r="D38" s="468"/>
      <c r="E38" s="468"/>
      <c r="F38" s="505">
        <f t="shared" si="0"/>
        <v>32</v>
      </c>
      <c r="G38" s="506"/>
      <c r="H38" s="510" t="s">
        <v>178</v>
      </c>
      <c r="I38" s="506"/>
      <c r="J38" s="542">
        <f>+C10</f>
        <v>0.21</v>
      </c>
      <c r="K38" s="542">
        <f>+J38</f>
        <v>0.21</v>
      </c>
      <c r="L38" s="506"/>
      <c r="M38" s="506"/>
      <c r="N38" s="506"/>
      <c r="O38" s="468"/>
      <c r="P38" s="468"/>
      <c r="Q38" s="541"/>
      <c r="R38" s="512">
        <v>3</v>
      </c>
      <c r="S38" s="539">
        <f ca="1">AI33/Investment*100</f>
        <v>280.4645804298662</v>
      </c>
      <c r="T38" s="540">
        <f ca="1">EXP(y_inter3-(slope*LN(S38)))</f>
        <v>6.3282894840612647</v>
      </c>
      <c r="U38" s="537">
        <f ca="1">(+S38*T38/100)/100</f>
        <v>0.1774861054985977</v>
      </c>
      <c r="V38" s="537">
        <f>regDebt_weighted</f>
        <v>3.5860000000000003E-2</v>
      </c>
      <c r="W38" s="537">
        <f ca="1">+U38-V38</f>
        <v>0.14162610549859769</v>
      </c>
      <c r="X38" s="537">
        <f ca="1">+((W38*(1-0.34))-Pfd_weighted)/Equity_percent</f>
        <v>0.25373031868916995</v>
      </c>
      <c r="Y38" s="537">
        <f ca="1">+X38*equityP</f>
        <v>0.15223819121350196</v>
      </c>
      <c r="Z38" s="537">
        <f ca="1">+Y38/(1-taxrate)</f>
        <v>0.19270657115633158</v>
      </c>
      <c r="AA38" s="537">
        <f>debtP*Debt_Rate</f>
        <v>2.0000000000000004E-2</v>
      </c>
      <c r="AB38" s="537">
        <f ca="1">+AA38+Z38</f>
        <v>0.21270657115633157</v>
      </c>
      <c r="AC38" s="537">
        <f ca="1">+AB38/(S38/100)</f>
        <v>7.5840796306727076E-2</v>
      </c>
      <c r="AD38" s="537">
        <f ca="1">1-AC38</f>
        <v>0.92415920369327287</v>
      </c>
      <c r="AE38" s="534">
        <f ca="1">expenses/(AD38)</f>
        <v>190612.80723828275</v>
      </c>
      <c r="AF38" s="536">
        <f ca="1">+AE38-Revenue</f>
        <v>33383.16310733938</v>
      </c>
      <c r="AG38" s="535">
        <f ca="1">+AF38/$J$49</f>
        <v>37014.616062869674</v>
      </c>
      <c r="AH38" s="535">
        <f ca="1">+AG38*$J$47</f>
        <v>836.53032302085467</v>
      </c>
      <c r="AI38" s="534">
        <f ca="1">ROUND(+AH38+AE38,5)</f>
        <v>191449.33756000001</v>
      </c>
    </row>
    <row r="39" spans="1:46" ht="15.75">
      <c r="A39" s="468"/>
      <c r="B39" s="468"/>
      <c r="C39" s="468"/>
      <c r="D39" s="468"/>
      <c r="E39" s="468"/>
      <c r="F39" s="505">
        <f t="shared" si="0"/>
        <v>33</v>
      </c>
      <c r="G39" s="506"/>
      <c r="H39" s="506"/>
      <c r="I39" s="506"/>
      <c r="J39" s="506"/>
      <c r="K39" s="506"/>
      <c r="L39" s="506"/>
      <c r="M39" s="506"/>
      <c r="N39" s="506"/>
      <c r="O39" s="468"/>
      <c r="P39" s="468"/>
      <c r="R39" s="518">
        <v>4</v>
      </c>
      <c r="S39" s="539">
        <f ca="1">AI34/Investment*100</f>
        <v>280.29403279210624</v>
      </c>
      <c r="T39" s="538">
        <f ca="1">EXP(y_inter4-(slope*LN(S39)))</f>
        <v>6.2911622755382215</v>
      </c>
      <c r="U39" s="537">
        <f ca="1">(+S39*T39/100)/100</f>
        <v>0.1763375245160172</v>
      </c>
      <c r="V39" s="537">
        <f>regDebt_weighted</f>
        <v>3.5860000000000003E-2</v>
      </c>
      <c r="W39" s="537">
        <f ca="1">+U39-V39</f>
        <v>0.14047752451601719</v>
      </c>
      <c r="X39" s="537">
        <f ca="1">+((W39*(1-0.34))-Pfd_weighted)/Equity_percent</f>
        <v>0.2515266458737539</v>
      </c>
      <c r="Y39" s="537">
        <f ca="1">+X39*equityP</f>
        <v>0.15091598752425234</v>
      </c>
      <c r="Z39" s="537">
        <f ca="1">+Y39/(1-taxrate)</f>
        <v>0.19103289560031941</v>
      </c>
      <c r="AA39" s="537">
        <f>debtP*Debt_Rate</f>
        <v>2.0000000000000004E-2</v>
      </c>
      <c r="AB39" s="537">
        <f ca="1">+AA39+Z39</f>
        <v>0.2110328956003194</v>
      </c>
      <c r="AC39" s="537">
        <f ca="1">+AB39/(S39/100)</f>
        <v>7.5289828148729185E-2</v>
      </c>
      <c r="AD39" s="537">
        <f ca="1">1-AC39</f>
        <v>0.9247101718512708</v>
      </c>
      <c r="AE39" s="534">
        <f ca="1">expenses/(AD39)</f>
        <v>190499.23480175959</v>
      </c>
      <c r="AF39" s="536">
        <f ca="1">+AE39-Revenue</f>
        <v>33269.590670816222</v>
      </c>
      <c r="AG39" s="535">
        <f ca="1">+AF39/$J$49</f>
        <v>36888.689106226513</v>
      </c>
      <c r="AH39" s="535">
        <f ca="1">+AG39*$J$47</f>
        <v>833.6843738007193</v>
      </c>
      <c r="AI39" s="534">
        <f ca="1">ROUND(+AH39+AE39,5)</f>
        <v>191332.91918</v>
      </c>
    </row>
    <row r="40" spans="1:46" ht="15.75">
      <c r="A40" s="468"/>
      <c r="B40" s="468"/>
      <c r="C40" s="468"/>
      <c r="D40" s="468"/>
      <c r="E40" s="468"/>
      <c r="F40" s="505">
        <f t="shared" si="0"/>
        <v>34</v>
      </c>
      <c r="G40" s="509"/>
      <c r="H40" s="506"/>
      <c r="I40" s="506"/>
      <c r="J40" s="506"/>
      <c r="K40" s="506"/>
      <c r="L40" s="506"/>
      <c r="M40" s="506"/>
      <c r="N40" s="506"/>
      <c r="O40" s="468"/>
      <c r="P40" s="468"/>
      <c r="X40" s="454"/>
      <c r="Y40" s="455"/>
      <c r="Z40" s="453"/>
      <c r="AA40" s="454"/>
      <c r="AC40" s="454"/>
      <c r="AD40" s="454"/>
      <c r="AE40" s="453"/>
      <c r="AF40" s="456"/>
      <c r="AH40" s="453"/>
    </row>
    <row r="41" spans="1:46" ht="15.75">
      <c r="A41" s="468"/>
      <c r="B41" s="468"/>
      <c r="C41" s="468"/>
      <c r="D41" s="468"/>
      <c r="E41" s="468"/>
      <c r="F41" s="505">
        <f t="shared" si="0"/>
        <v>35</v>
      </c>
      <c r="G41" s="506"/>
      <c r="H41" s="533" t="s">
        <v>1192</v>
      </c>
      <c r="I41" s="532"/>
      <c r="J41" s="506"/>
      <c r="K41" s="506"/>
      <c r="L41" s="506"/>
      <c r="M41" s="506"/>
      <c r="N41" s="506"/>
      <c r="O41" s="468"/>
      <c r="P41" s="468"/>
      <c r="R41" s="748" t="s">
        <v>1191</v>
      </c>
      <c r="S41" s="747"/>
      <c r="T41" s="736"/>
      <c r="U41" s="736"/>
      <c r="V41" s="735"/>
      <c r="X41" s="531"/>
      <c r="Y41" s="455"/>
      <c r="Z41" s="453"/>
      <c r="AA41" s="454"/>
      <c r="AC41" s="454"/>
      <c r="AD41" s="454"/>
      <c r="AE41" s="453"/>
      <c r="AF41" s="456"/>
      <c r="AH41" s="453"/>
    </row>
    <row r="42" spans="1:46" ht="15.75">
      <c r="A42" s="468"/>
      <c r="B42" s="468"/>
      <c r="C42" s="468"/>
      <c r="D42" s="468"/>
      <c r="E42" s="468"/>
      <c r="F42" s="505">
        <f t="shared" si="0"/>
        <v>36</v>
      </c>
      <c r="G42" s="506"/>
      <c r="H42" s="506"/>
      <c r="I42" s="506"/>
      <c r="J42" s="530" t="s">
        <v>449</v>
      </c>
      <c r="K42" s="529" t="s">
        <v>1190</v>
      </c>
      <c r="L42" s="506"/>
      <c r="M42" s="506"/>
      <c r="N42" s="506"/>
      <c r="O42" s="468"/>
      <c r="P42" s="468"/>
      <c r="R42" s="528" t="s">
        <v>1189</v>
      </c>
      <c r="S42" s="527"/>
      <c r="T42" s="463"/>
      <c r="U42" s="463"/>
      <c r="V42" s="497"/>
      <c r="X42" s="454"/>
      <c r="Y42" s="455"/>
      <c r="Z42" s="453"/>
      <c r="AA42" s="454"/>
      <c r="AC42" s="454"/>
      <c r="AD42" s="454"/>
      <c r="AE42" s="453"/>
      <c r="AH42" s="453"/>
    </row>
    <row r="43" spans="1:46" ht="15.75">
      <c r="A43" s="468"/>
      <c r="B43" s="468"/>
      <c r="C43" s="468"/>
      <c r="D43" s="468"/>
      <c r="E43" s="468"/>
      <c r="F43" s="505">
        <f t="shared" si="0"/>
        <v>37</v>
      </c>
      <c r="G43" s="506"/>
      <c r="H43" s="510" t="s">
        <v>174</v>
      </c>
      <c r="I43" s="521"/>
      <c r="J43" s="520">
        <f>IF($A$65=TRUE,C11,0)</f>
        <v>1.7500000000000002E-2</v>
      </c>
      <c r="K43" s="519">
        <f ca="1">+J43*($J$7/$J$49)</f>
        <v>647.75259419528834</v>
      </c>
      <c r="L43" s="506"/>
      <c r="M43" s="506"/>
      <c r="N43" s="506"/>
      <c r="O43" s="468"/>
      <c r="P43" s="468"/>
      <c r="R43" s="512">
        <v>0</v>
      </c>
      <c r="S43" s="525">
        <v>1</v>
      </c>
      <c r="T43" s="463"/>
      <c r="U43" s="526" t="s">
        <v>1168</v>
      </c>
      <c r="V43" s="464">
        <f ca="1">VLOOKUP(R49,R36:AE39,12)</f>
        <v>7.5840796306727076E-2</v>
      </c>
      <c r="AA43" s="454"/>
      <c r="AC43" s="454"/>
      <c r="AH43" s="453"/>
      <c r="AL43" s="454"/>
      <c r="AM43" s="454"/>
      <c r="AN43" s="454"/>
      <c r="AO43" s="454"/>
      <c r="AP43" s="454"/>
      <c r="AQ43" s="454"/>
      <c r="AR43" s="454"/>
      <c r="AS43" s="454"/>
      <c r="AT43" s="454"/>
    </row>
    <row r="44" spans="1:46" ht="15.75">
      <c r="A44" s="468"/>
      <c r="B44" s="468"/>
      <c r="C44" s="468"/>
      <c r="D44" s="468"/>
      <c r="E44" s="468"/>
      <c r="F44" s="505">
        <f t="shared" si="0"/>
        <v>38</v>
      </c>
      <c r="G44" s="506"/>
      <c r="H44" s="510" t="s">
        <v>176</v>
      </c>
      <c r="I44" s="521"/>
      <c r="J44" s="520">
        <f>IF($A$65=TRUE,C12,0)</f>
        <v>5.1000000000000004E-3</v>
      </c>
      <c r="K44" s="519">
        <f ca="1">+J44*($J$7/$J$49)</f>
        <v>188.77361316548402</v>
      </c>
      <c r="L44" s="506"/>
      <c r="M44" s="506"/>
      <c r="N44" s="506"/>
      <c r="O44" s="468"/>
      <c r="P44" s="468"/>
      <c r="R44" s="512">
        <v>50</v>
      </c>
      <c r="S44" s="525">
        <v>2</v>
      </c>
      <c r="T44" s="463"/>
      <c r="U44" s="526" t="s">
        <v>1169</v>
      </c>
      <c r="V44" s="464">
        <f ca="1">ROUND(1-V43,5)</f>
        <v>0.92415999999999998</v>
      </c>
      <c r="Y44" s="522"/>
      <c r="Z44" s="450"/>
      <c r="AA44" s="450"/>
      <c r="AC44" s="454"/>
      <c r="AF44" s="456"/>
      <c r="AH44" s="453"/>
      <c r="AL44" s="454"/>
      <c r="AM44" s="454"/>
      <c r="AN44" s="454"/>
      <c r="AO44" s="454"/>
      <c r="AP44" s="454"/>
      <c r="AQ44" s="454"/>
      <c r="AR44" s="454"/>
      <c r="AS44" s="454"/>
      <c r="AT44" s="454"/>
    </row>
    <row r="45" spans="1:46" ht="15.75">
      <c r="A45" s="468"/>
      <c r="B45" s="468"/>
      <c r="C45" s="468"/>
      <c r="D45" s="468"/>
      <c r="E45" s="468"/>
      <c r="F45" s="505">
        <f t="shared" si="0"/>
        <v>39</v>
      </c>
      <c r="G45" s="506"/>
      <c r="H45" s="510" t="s">
        <v>177</v>
      </c>
      <c r="I45" s="521"/>
      <c r="J45" s="520">
        <f>IF($A$65=TRUE,C13,0)</f>
        <v>0</v>
      </c>
      <c r="K45" s="519">
        <f ca="1">+J45*($J$7/$J$49)</f>
        <v>0</v>
      </c>
      <c r="L45" s="506"/>
      <c r="M45" s="506"/>
      <c r="N45" s="506"/>
      <c r="O45" s="468"/>
      <c r="P45" s="468"/>
      <c r="R45" s="512">
        <v>125</v>
      </c>
      <c r="S45" s="525">
        <v>3</v>
      </c>
      <c r="T45" s="463"/>
      <c r="U45" s="498" t="s">
        <v>1188</v>
      </c>
      <c r="V45" s="524">
        <f ca="1">+M7/Revenue-1</f>
        <v>0.21764041546641755</v>
      </c>
      <c r="W45" s="523"/>
      <c r="X45" s="454"/>
      <c r="Y45" s="522"/>
      <c r="Z45" s="453"/>
      <c r="AA45" s="454"/>
      <c r="AC45" s="454"/>
      <c r="AD45" s="454"/>
      <c r="AE45" s="453"/>
      <c r="AF45" s="456"/>
      <c r="AH45" s="453"/>
      <c r="AL45" s="454"/>
      <c r="AM45" s="454"/>
      <c r="AN45" s="454"/>
      <c r="AO45" s="454"/>
      <c r="AP45" s="454"/>
      <c r="AQ45" s="454"/>
      <c r="AR45" s="454"/>
      <c r="AS45" s="454"/>
      <c r="AT45" s="454"/>
    </row>
    <row r="46" spans="1:46" ht="15.75">
      <c r="A46" s="468"/>
      <c r="B46" s="468"/>
      <c r="C46" s="468"/>
      <c r="D46" s="468"/>
      <c r="E46" s="468"/>
      <c r="F46" s="505">
        <f t="shared" si="0"/>
        <v>40</v>
      </c>
      <c r="G46" s="506"/>
      <c r="H46" s="510" t="s">
        <v>179</v>
      </c>
      <c r="I46" s="521"/>
      <c r="J46" s="520">
        <f>IF($A$65=TRUE,C14,0)</f>
        <v>0</v>
      </c>
      <c r="K46" s="519">
        <f ca="1">+J46*($J$7/$J$49)</f>
        <v>0</v>
      </c>
      <c r="L46" s="506"/>
      <c r="M46" s="506"/>
      <c r="N46" s="506"/>
      <c r="O46" s="468"/>
      <c r="P46" s="468"/>
      <c r="R46" s="518">
        <v>401</v>
      </c>
      <c r="S46" s="517">
        <v>4</v>
      </c>
      <c r="T46" s="516"/>
      <c r="U46" s="516"/>
      <c r="V46" s="515"/>
      <c r="X46" s="454"/>
      <c r="Y46" s="455"/>
      <c r="Z46" s="453"/>
      <c r="AA46" s="454"/>
      <c r="AC46" s="454"/>
      <c r="AD46" s="454"/>
      <c r="AE46" s="453"/>
      <c r="AF46" s="456"/>
      <c r="AH46" s="453"/>
      <c r="AL46" s="454"/>
      <c r="AM46" s="454"/>
      <c r="AN46" s="454"/>
      <c r="AO46" s="454"/>
      <c r="AP46" s="454"/>
      <c r="AQ46" s="454"/>
      <c r="AR46" s="454"/>
      <c r="AS46" s="454"/>
      <c r="AT46" s="454"/>
    </row>
    <row r="47" spans="1:46" ht="16.5" thickBot="1">
      <c r="A47" s="468"/>
      <c r="B47" s="468"/>
      <c r="C47" s="468"/>
      <c r="D47" s="468"/>
      <c r="E47" s="468"/>
      <c r="F47" s="505">
        <f t="shared" si="0"/>
        <v>41</v>
      </c>
      <c r="G47" s="506"/>
      <c r="H47" s="510" t="s">
        <v>181</v>
      </c>
      <c r="I47" s="509"/>
      <c r="J47" s="514">
        <f>SUM(J43:J46)</f>
        <v>2.2600000000000002E-2</v>
      </c>
      <c r="K47" s="513">
        <f ca="1">+K43+K44+K45+K46</f>
        <v>836.52620736077233</v>
      </c>
      <c r="L47" s="506"/>
      <c r="M47" s="506"/>
      <c r="N47" s="506"/>
      <c r="O47" s="468"/>
      <c r="P47" s="468"/>
      <c r="R47" s="512"/>
      <c r="S47" s="511"/>
      <c r="T47" s="463"/>
      <c r="U47" s="463"/>
      <c r="V47" s="463"/>
      <c r="X47" s="454"/>
      <c r="Y47" s="455"/>
      <c r="Z47" s="453"/>
      <c r="AA47" s="454"/>
      <c r="AC47" s="454"/>
      <c r="AD47" s="454"/>
      <c r="AE47" s="453"/>
      <c r="AF47" s="456"/>
      <c r="AH47" s="453"/>
      <c r="AL47" s="454"/>
      <c r="AM47" s="454"/>
      <c r="AN47" s="454"/>
      <c r="AO47" s="454"/>
      <c r="AP47" s="454"/>
      <c r="AQ47" s="454"/>
      <c r="AR47" s="454"/>
      <c r="AS47" s="454"/>
      <c r="AT47" s="454"/>
    </row>
    <row r="48" spans="1:46" ht="16.5" thickTop="1">
      <c r="A48" s="468"/>
      <c r="B48" s="468"/>
      <c r="C48" s="468"/>
      <c r="D48" s="468"/>
      <c r="E48" s="468"/>
      <c r="F48" s="505">
        <f t="shared" si="0"/>
        <v>42</v>
      </c>
      <c r="G48" s="506"/>
      <c r="H48" s="510"/>
      <c r="I48" s="509"/>
      <c r="J48" s="508"/>
      <c r="K48" s="507"/>
      <c r="L48" s="506"/>
      <c r="M48" s="506"/>
      <c r="N48" s="506"/>
      <c r="O48" s="468"/>
      <c r="P48" s="468"/>
      <c r="R48" s="746">
        <f ca="1">VLOOKUP(R49,R36:S39,2)</f>
        <v>280.4645804298662</v>
      </c>
      <c r="S48" s="745" t="s">
        <v>1187</v>
      </c>
      <c r="T48" s="735"/>
      <c r="V48" s="736"/>
      <c r="X48" s="449" t="s">
        <v>146</v>
      </c>
      <c r="AC48" s="454"/>
      <c r="AF48" s="456"/>
      <c r="AH48" s="453"/>
    </row>
    <row r="49" spans="1:46" ht="15.75">
      <c r="A49" s="468"/>
      <c r="B49" s="468"/>
      <c r="C49" s="468"/>
      <c r="D49" s="468"/>
      <c r="E49" s="468"/>
      <c r="F49" s="505">
        <f t="shared" si="0"/>
        <v>43</v>
      </c>
      <c r="G49" s="504"/>
      <c r="H49" s="503" t="s">
        <v>182</v>
      </c>
      <c r="I49" s="501"/>
      <c r="J49" s="502">
        <f ca="1">((K35)-J47)</f>
        <v>0.90189137854726809</v>
      </c>
      <c r="K49" s="501"/>
      <c r="L49" s="501"/>
      <c r="M49" s="501"/>
      <c r="N49" s="501"/>
      <c r="O49" s="468"/>
      <c r="P49" s="468"/>
      <c r="R49" s="499">
        <f ca="1">VLOOKUP(S36,R43:S46,2)</f>
        <v>3</v>
      </c>
      <c r="S49" s="500" t="s">
        <v>1186</v>
      </c>
      <c r="T49" s="497"/>
      <c r="X49" s="449" t="s">
        <v>149</v>
      </c>
      <c r="AA49" s="450"/>
      <c r="AC49" s="454"/>
      <c r="AH49" s="453"/>
    </row>
    <row r="50" spans="1:46">
      <c r="A50" s="468"/>
      <c r="B50" s="468"/>
      <c r="C50" s="468"/>
      <c r="D50" s="468"/>
      <c r="E50" s="468"/>
      <c r="F50" s="468"/>
      <c r="G50" s="468"/>
      <c r="H50" s="468"/>
      <c r="I50" s="468"/>
      <c r="J50" s="468"/>
      <c r="K50" s="496"/>
      <c r="L50" s="468"/>
      <c r="M50" s="468"/>
      <c r="N50" s="495"/>
      <c r="O50" s="468"/>
      <c r="P50" s="468"/>
      <c r="R50" s="499"/>
      <c r="S50" s="498"/>
      <c r="T50" s="497"/>
      <c r="X50" s="449" t="s">
        <v>155</v>
      </c>
      <c r="AA50" s="454"/>
      <c r="AC50" s="454"/>
      <c r="AD50" s="454"/>
      <c r="AE50" s="453"/>
      <c r="AH50" s="453"/>
    </row>
    <row r="51" spans="1:46">
      <c r="A51" s="468"/>
      <c r="B51" s="468"/>
      <c r="C51" s="468"/>
      <c r="D51" s="468"/>
      <c r="E51" s="468"/>
      <c r="F51" s="468"/>
      <c r="G51" s="468"/>
      <c r="H51" s="468"/>
      <c r="I51" s="468"/>
      <c r="J51" s="468"/>
      <c r="K51" s="496"/>
      <c r="L51" s="468"/>
      <c r="M51" s="468"/>
      <c r="N51" s="495"/>
      <c r="O51" s="468"/>
      <c r="P51" s="468"/>
      <c r="R51" s="494">
        <f ca="1">+V44</f>
        <v>0.92415999999999998</v>
      </c>
      <c r="S51" s="493" t="s">
        <v>1169</v>
      </c>
      <c r="T51" s="492"/>
      <c r="X51" s="449" t="s">
        <v>158</v>
      </c>
      <c r="AA51" s="454"/>
      <c r="AC51" s="454"/>
      <c r="AD51" s="454"/>
      <c r="AE51" s="453"/>
      <c r="AF51" s="454"/>
      <c r="AH51" s="453"/>
      <c r="AL51" s="454"/>
      <c r="AM51" s="454"/>
      <c r="AN51" s="454"/>
      <c r="AO51" s="454"/>
      <c r="AP51" s="454"/>
      <c r="AQ51" s="454"/>
      <c r="AR51" s="454"/>
      <c r="AS51" s="454"/>
      <c r="AT51" s="454"/>
    </row>
    <row r="52" spans="1:46">
      <c r="A52" s="468"/>
      <c r="B52" s="468"/>
      <c r="C52" s="468"/>
      <c r="D52" s="468"/>
      <c r="E52" s="468"/>
      <c r="F52" s="468"/>
      <c r="G52" s="468"/>
      <c r="H52" s="468"/>
      <c r="I52" s="468"/>
      <c r="J52" s="468"/>
      <c r="K52" s="468"/>
      <c r="L52" s="468"/>
      <c r="M52" s="468"/>
      <c r="N52" s="468"/>
      <c r="O52" s="468"/>
      <c r="P52" s="468"/>
      <c r="Z52" s="453"/>
      <c r="AA52" s="454"/>
      <c r="AC52" s="454"/>
      <c r="AD52" s="454"/>
      <c r="AE52" s="453"/>
      <c r="AF52" s="456"/>
      <c r="AH52" s="453"/>
      <c r="AL52" s="454"/>
      <c r="AM52" s="454"/>
      <c r="AN52" s="454"/>
      <c r="AO52" s="454"/>
      <c r="AP52" s="454"/>
      <c r="AQ52" s="454"/>
      <c r="AR52" s="454"/>
      <c r="AS52" s="454"/>
      <c r="AT52" s="454"/>
    </row>
    <row r="53" spans="1:46">
      <c r="A53" s="468"/>
      <c r="B53" s="468"/>
      <c r="C53" s="468"/>
      <c r="D53" s="468"/>
      <c r="E53" s="468"/>
      <c r="F53" s="468"/>
      <c r="G53" s="468"/>
      <c r="H53" s="468"/>
      <c r="I53" s="468"/>
      <c r="J53" s="471"/>
      <c r="K53" s="471"/>
      <c r="L53" s="471"/>
      <c r="M53" s="471"/>
      <c r="N53" s="468"/>
      <c r="O53" s="468"/>
      <c r="P53" s="468"/>
      <c r="R53" s="449"/>
      <c r="Z53" s="453"/>
      <c r="AA53" s="454"/>
      <c r="AC53" s="454"/>
      <c r="AD53" s="454"/>
      <c r="AE53" s="453"/>
      <c r="AF53" s="456"/>
      <c r="AH53" s="453"/>
      <c r="AL53" s="454"/>
      <c r="AM53" s="454"/>
      <c r="AN53" s="454"/>
      <c r="AO53" s="454"/>
      <c r="AP53" s="454"/>
      <c r="AQ53" s="454"/>
      <c r="AR53" s="454"/>
      <c r="AS53" s="454"/>
      <c r="AT53" s="454"/>
    </row>
    <row r="54" spans="1:46" ht="15.75">
      <c r="A54" s="468"/>
      <c r="B54" s="468"/>
      <c r="C54" s="468"/>
      <c r="D54" s="468"/>
      <c r="E54" s="468"/>
      <c r="F54" s="468"/>
      <c r="G54" s="468"/>
      <c r="H54" s="468"/>
      <c r="I54" s="468"/>
      <c r="J54" s="468"/>
      <c r="K54" s="471"/>
      <c r="L54" s="471"/>
      <c r="M54" s="471"/>
      <c r="N54" s="468"/>
      <c r="O54" s="468"/>
      <c r="P54" s="468"/>
      <c r="R54" s="449"/>
      <c r="S54" s="449" t="s">
        <v>1185</v>
      </c>
      <c r="T54" s="454"/>
      <c r="U54" s="491"/>
      <c r="W54" s="490" t="s">
        <v>1184</v>
      </c>
      <c r="X54" s="489"/>
      <c r="Y54" s="489"/>
      <c r="Z54" s="489"/>
      <c r="AC54" s="454"/>
      <c r="AF54" s="456"/>
      <c r="AH54" s="453"/>
      <c r="AL54" s="454"/>
      <c r="AM54" s="454"/>
      <c r="AN54" s="454"/>
      <c r="AO54" s="454"/>
      <c r="AP54" s="454"/>
      <c r="AQ54" s="454"/>
      <c r="AR54" s="454"/>
      <c r="AS54" s="454"/>
      <c r="AT54" s="454"/>
    </row>
    <row r="55" spans="1:46">
      <c r="A55" s="468"/>
      <c r="B55" s="468"/>
      <c r="C55" s="468"/>
      <c r="D55" s="468"/>
      <c r="E55" s="468"/>
      <c r="F55" s="468"/>
      <c r="G55" s="468"/>
      <c r="H55" s="468"/>
      <c r="I55" s="468"/>
      <c r="J55" s="468"/>
      <c r="K55" s="468"/>
      <c r="L55" s="480"/>
      <c r="M55" s="480"/>
      <c r="N55" s="468"/>
      <c r="O55" s="468"/>
      <c r="P55" s="468"/>
      <c r="R55" s="738"/>
      <c r="S55" s="744" t="s">
        <v>451</v>
      </c>
      <c r="T55" s="744" t="s">
        <v>573</v>
      </c>
      <c r="U55" s="743" t="s">
        <v>1183</v>
      </c>
      <c r="W55" s="742" t="s">
        <v>1182</v>
      </c>
      <c r="X55" s="741">
        <v>5.7225999999999999</v>
      </c>
      <c r="Y55" s="740" t="s">
        <v>1181</v>
      </c>
      <c r="Z55" s="739">
        <v>5.6985000000000001</v>
      </c>
      <c r="AA55" s="450"/>
      <c r="AC55" s="454"/>
      <c r="AH55" s="453"/>
    </row>
    <row r="56" spans="1:46">
      <c r="A56" s="468"/>
      <c r="B56" s="468"/>
      <c r="C56" s="468"/>
      <c r="D56" s="468"/>
      <c r="E56" s="468"/>
      <c r="F56" s="468"/>
      <c r="G56" s="468"/>
      <c r="H56" s="468"/>
      <c r="I56" s="468"/>
      <c r="J56" s="480"/>
      <c r="K56" s="468"/>
      <c r="L56" s="480"/>
      <c r="M56" s="480"/>
      <c r="N56" s="468"/>
      <c r="O56" s="468"/>
      <c r="P56" s="468"/>
      <c r="R56" s="451" t="s">
        <v>1180</v>
      </c>
      <c r="S56" s="484">
        <v>0.56200000000000006</v>
      </c>
      <c r="T56" s="484">
        <v>6.3799999999999996E-2</v>
      </c>
      <c r="U56" s="464">
        <f>ROUND(+S56*T56,5)</f>
        <v>3.5860000000000003E-2</v>
      </c>
      <c r="W56" s="488" t="s">
        <v>1179</v>
      </c>
      <c r="X56" s="487">
        <v>5.7082699999999997</v>
      </c>
      <c r="Y56" s="486" t="s">
        <v>1178</v>
      </c>
      <c r="Z56" s="485">
        <v>5.6921999999999997</v>
      </c>
      <c r="AA56" s="454"/>
      <c r="AC56" s="454"/>
      <c r="AD56" s="454"/>
      <c r="AE56" s="453"/>
      <c r="AH56" s="453"/>
    </row>
    <row r="57" spans="1:46">
      <c r="A57" s="468"/>
      <c r="B57" s="468"/>
      <c r="C57" s="468"/>
      <c r="D57" s="468"/>
      <c r="E57" s="471"/>
      <c r="F57" s="468"/>
      <c r="G57" s="468"/>
      <c r="H57" s="468"/>
      <c r="I57" s="468"/>
      <c r="J57" s="480"/>
      <c r="K57" s="468"/>
      <c r="L57" s="480"/>
      <c r="M57" s="480"/>
      <c r="N57" s="468"/>
      <c r="O57" s="468"/>
      <c r="P57" s="468"/>
      <c r="R57" s="451" t="s">
        <v>1177</v>
      </c>
      <c r="S57" s="484">
        <v>9.4E-2</v>
      </c>
      <c r="T57" s="484">
        <v>6.59E-2</v>
      </c>
      <c r="U57" s="464">
        <f>ROUND(+S57*T57,5)</f>
        <v>6.1900000000000002E-3</v>
      </c>
      <c r="W57" s="451"/>
      <c r="X57" s="463"/>
      <c r="Y57" s="483"/>
      <c r="Z57" s="482"/>
      <c r="AA57" s="454"/>
      <c r="AC57" s="454"/>
      <c r="AD57" s="454"/>
      <c r="AE57" s="453"/>
      <c r="AF57" s="456"/>
      <c r="AH57" s="453"/>
      <c r="AL57" s="454"/>
    </row>
    <row r="58" spans="1:46" ht="15.75">
      <c r="A58" s="468"/>
      <c r="B58" s="468"/>
      <c r="C58" s="468"/>
      <c r="D58" s="468"/>
      <c r="E58" s="471"/>
      <c r="F58" s="471"/>
      <c r="G58" s="471"/>
      <c r="H58" s="481"/>
      <c r="I58" s="471"/>
      <c r="J58" s="480"/>
      <c r="K58" s="468"/>
      <c r="L58" s="468"/>
      <c r="M58" s="468"/>
      <c r="N58" s="468"/>
      <c r="O58" s="468"/>
      <c r="P58" s="468"/>
      <c r="R58" s="451" t="s">
        <v>1176</v>
      </c>
      <c r="S58" s="475">
        <v>0.34399999999999997</v>
      </c>
      <c r="T58" s="462"/>
      <c r="U58" s="479"/>
      <c r="W58" s="460"/>
      <c r="X58" s="478" t="s">
        <v>1175</v>
      </c>
      <c r="Y58" s="477">
        <v>0.68367</v>
      </c>
      <c r="Z58" s="476"/>
      <c r="AA58" s="454"/>
      <c r="AC58" s="454"/>
      <c r="AD58" s="454"/>
      <c r="AE58" s="453"/>
      <c r="AF58" s="456"/>
      <c r="AH58" s="453"/>
    </row>
    <row r="59" spans="1:46" ht="15.75">
      <c r="A59" s="468"/>
      <c r="B59" s="468"/>
      <c r="C59" s="468"/>
      <c r="D59" s="468"/>
      <c r="E59" s="468"/>
      <c r="F59" s="468"/>
      <c r="G59" s="468"/>
      <c r="H59" s="468"/>
      <c r="I59" s="468"/>
      <c r="J59" s="468"/>
      <c r="K59" s="468"/>
      <c r="L59" s="468"/>
      <c r="M59" s="468"/>
      <c r="N59" s="468"/>
      <c r="O59" s="468"/>
      <c r="P59" s="468"/>
      <c r="R59" s="460"/>
      <c r="S59" s="475">
        <f>SUM(S56:S58)</f>
        <v>1</v>
      </c>
      <c r="T59" s="474"/>
      <c r="U59" s="473"/>
      <c r="X59" s="454"/>
      <c r="Y59" s="455"/>
      <c r="Z59" s="453"/>
      <c r="AA59" s="454"/>
      <c r="AC59" s="454"/>
      <c r="AD59" s="454"/>
      <c r="AE59" s="453"/>
      <c r="AF59" s="456"/>
      <c r="AH59" s="453"/>
    </row>
    <row r="60" spans="1:46">
      <c r="A60" s="468"/>
      <c r="B60" s="468"/>
      <c r="C60" s="468"/>
      <c r="D60" s="468"/>
      <c r="E60" s="468"/>
      <c r="F60" s="468"/>
      <c r="G60" s="468"/>
      <c r="H60" s="468"/>
      <c r="I60" s="468"/>
      <c r="J60" s="468"/>
      <c r="K60" s="468"/>
      <c r="L60" s="468"/>
      <c r="M60" s="468"/>
      <c r="N60" s="468"/>
      <c r="O60" s="468"/>
      <c r="P60" s="468"/>
      <c r="X60" s="472"/>
      <c r="AC60" s="454"/>
      <c r="AF60" s="456"/>
      <c r="AH60" s="453"/>
      <c r="AL60" s="456"/>
      <c r="AM60" s="456"/>
      <c r="AN60" s="456"/>
      <c r="AO60" s="456"/>
      <c r="AP60" s="456"/>
      <c r="AQ60" s="456"/>
      <c r="AR60" s="456"/>
      <c r="AS60" s="456"/>
      <c r="AT60" s="456"/>
    </row>
    <row r="61" spans="1:46">
      <c r="A61" s="468"/>
      <c r="B61" s="468"/>
      <c r="C61" s="468"/>
      <c r="D61" s="468"/>
      <c r="E61" s="471"/>
      <c r="F61" s="468"/>
      <c r="G61" s="468"/>
      <c r="H61" s="468"/>
      <c r="I61" s="468"/>
      <c r="J61" s="468"/>
      <c r="K61" s="468"/>
      <c r="L61" s="468"/>
      <c r="M61" s="468"/>
      <c r="N61" s="468"/>
      <c r="O61" s="468"/>
      <c r="P61" s="468"/>
      <c r="W61" s="738" t="s">
        <v>1174</v>
      </c>
      <c r="X61" s="737"/>
      <c r="Y61" s="736" t="s">
        <v>1173</v>
      </c>
      <c r="Z61" s="735" t="s">
        <v>1172</v>
      </c>
      <c r="AC61" s="454"/>
      <c r="AH61" s="453"/>
      <c r="AL61" s="456"/>
      <c r="AM61" s="456"/>
      <c r="AN61" s="456"/>
      <c r="AO61" s="456"/>
      <c r="AP61" s="456"/>
      <c r="AQ61" s="456"/>
      <c r="AR61" s="456"/>
      <c r="AS61" s="456"/>
      <c r="AT61" s="456"/>
    </row>
    <row r="62" spans="1:46">
      <c r="A62" s="468"/>
      <c r="B62" s="468"/>
      <c r="C62" s="468"/>
      <c r="D62" s="468"/>
      <c r="E62" s="468"/>
      <c r="F62" s="471"/>
      <c r="G62" s="471"/>
      <c r="H62" s="471"/>
      <c r="I62" s="471"/>
      <c r="J62" s="471"/>
      <c r="K62" s="471"/>
      <c r="L62" s="471"/>
      <c r="M62" s="471"/>
      <c r="N62" s="471"/>
      <c r="O62" s="468"/>
      <c r="P62" s="468"/>
      <c r="W62" s="470"/>
      <c r="X62" s="467"/>
      <c r="Y62" s="467"/>
      <c r="Z62" s="469"/>
      <c r="AC62" s="454"/>
      <c r="AD62" s="454"/>
      <c r="AE62" s="453"/>
      <c r="AH62" s="453"/>
      <c r="AL62" s="456"/>
      <c r="AM62" s="456"/>
      <c r="AN62" s="456"/>
      <c r="AO62" s="456"/>
      <c r="AP62" s="456"/>
      <c r="AQ62" s="456"/>
      <c r="AR62" s="456"/>
      <c r="AS62" s="456"/>
      <c r="AT62" s="456"/>
    </row>
    <row r="63" spans="1:46">
      <c r="A63" s="468"/>
      <c r="B63" s="468"/>
      <c r="C63" s="468"/>
      <c r="D63" s="468"/>
      <c r="E63" s="468"/>
      <c r="F63" s="468"/>
      <c r="G63" s="468"/>
      <c r="H63" s="468"/>
      <c r="I63" s="468"/>
      <c r="J63" s="468"/>
      <c r="K63" s="468"/>
      <c r="L63" s="468"/>
      <c r="M63" s="468"/>
      <c r="N63" s="468"/>
      <c r="O63" s="468"/>
      <c r="P63" s="468"/>
      <c r="W63" s="451" t="s">
        <v>1171</v>
      </c>
      <c r="X63" s="467"/>
      <c r="Y63" s="464">
        <f t="shared" ref="Y63:Z68" ca="1" si="1">+J33</f>
        <v>0.21177475322125427</v>
      </c>
      <c r="Z63" s="464">
        <f t="shared" ca="1" si="1"/>
        <v>0.17150205504479088</v>
      </c>
      <c r="AC63" s="454"/>
      <c r="AD63" s="454"/>
      <c r="AE63" s="453"/>
      <c r="AF63" s="456"/>
      <c r="AH63" s="453"/>
      <c r="AL63" s="456"/>
      <c r="AM63" s="456"/>
      <c r="AN63" s="456"/>
      <c r="AO63" s="456"/>
      <c r="AP63" s="456"/>
      <c r="AQ63" s="456"/>
      <c r="AR63" s="456"/>
      <c r="AS63" s="456"/>
      <c r="AT63" s="456"/>
    </row>
    <row r="64" spans="1:46">
      <c r="A64" s="468"/>
      <c r="B64" s="468"/>
      <c r="C64" s="468"/>
      <c r="D64" s="468"/>
      <c r="E64" s="468"/>
      <c r="F64" s="468"/>
      <c r="G64" s="468"/>
      <c r="H64" s="468"/>
      <c r="I64" s="468"/>
      <c r="J64" s="468"/>
      <c r="K64" s="468"/>
      <c r="L64" s="468"/>
      <c r="M64" s="468"/>
      <c r="N64" s="468"/>
      <c r="O64" s="468"/>
      <c r="P64" s="468"/>
      <c r="W64" s="451" t="s">
        <v>1170</v>
      </c>
      <c r="X64" s="467"/>
      <c r="Y64" s="464">
        <f t="shared" ca="1" si="1"/>
        <v>0.31962458870209043</v>
      </c>
      <c r="Z64" s="464">
        <f t="shared" ca="1" si="1"/>
        <v>0.25250342507465146</v>
      </c>
      <c r="AC64" s="454"/>
      <c r="AD64" s="454"/>
      <c r="AE64" s="453"/>
      <c r="AF64" s="456"/>
      <c r="AH64" s="453"/>
    </row>
    <row r="65" spans="1:38">
      <c r="A65" s="449" t="b">
        <v>1</v>
      </c>
      <c r="F65" s="468"/>
      <c r="G65" s="468"/>
      <c r="H65" s="468"/>
      <c r="I65" s="468"/>
      <c r="J65" s="468"/>
      <c r="K65" s="468"/>
      <c r="L65" s="468"/>
      <c r="M65" s="468"/>
      <c r="N65" s="468"/>
      <c r="W65" s="451" t="s">
        <v>1169</v>
      </c>
      <c r="X65" s="467"/>
      <c r="Y65" s="464">
        <f t="shared" ca="1" si="1"/>
        <v>0.92415999999999998</v>
      </c>
      <c r="Z65" s="464">
        <f t="shared" ca="1" si="1"/>
        <v>0.92449137854726804</v>
      </c>
      <c r="AC65" s="454"/>
      <c r="AD65" s="454"/>
      <c r="AE65" s="453"/>
      <c r="AF65" s="456"/>
      <c r="AH65" s="453"/>
    </row>
    <row r="66" spans="1:38">
      <c r="H66" s="456"/>
      <c r="I66" s="456"/>
      <c r="J66" s="456"/>
      <c r="K66" s="456"/>
      <c r="L66" s="456"/>
      <c r="M66" s="456"/>
      <c r="N66" s="456"/>
      <c r="O66" s="456"/>
      <c r="W66" s="451" t="s">
        <v>1168</v>
      </c>
      <c r="X66" s="467"/>
      <c r="Y66" s="464">
        <f t="shared" ca="1" si="1"/>
        <v>7.5840000000000019E-2</v>
      </c>
      <c r="Z66" s="464">
        <f t="shared" ca="1" si="1"/>
        <v>7.5840000000000019E-2</v>
      </c>
      <c r="AC66" s="454"/>
      <c r="AF66" s="456"/>
      <c r="AH66" s="453"/>
      <c r="AL66" s="456"/>
    </row>
    <row r="67" spans="1:38">
      <c r="H67" s="456"/>
      <c r="I67" s="456"/>
      <c r="J67" s="456"/>
      <c r="K67" s="456"/>
      <c r="L67" s="456"/>
      <c r="M67" s="456"/>
      <c r="N67" s="456"/>
      <c r="O67" s="456"/>
      <c r="W67" s="451" t="s">
        <v>1167</v>
      </c>
      <c r="X67" s="466"/>
      <c r="Y67" s="464">
        <f t="shared" ca="1" si="1"/>
        <v>2.8029403279210623</v>
      </c>
      <c r="Z67" s="464">
        <f t="shared" ca="1" si="1"/>
        <v>2.8029403279210623</v>
      </c>
      <c r="AC67" s="454"/>
      <c r="AH67" s="453"/>
    </row>
    <row r="68" spans="1:38">
      <c r="O68" s="456"/>
      <c r="W68" s="451" t="s">
        <v>178</v>
      </c>
      <c r="X68" s="465"/>
      <c r="Y68" s="464">
        <f t="shared" si="1"/>
        <v>0.21</v>
      </c>
      <c r="Z68" s="464">
        <f t="shared" si="1"/>
        <v>0.21</v>
      </c>
      <c r="AC68" s="454"/>
      <c r="AD68" s="454"/>
      <c r="AE68" s="453"/>
      <c r="AH68" s="453"/>
    </row>
    <row r="69" spans="1:38" ht="15.75">
      <c r="O69" s="456"/>
      <c r="W69" s="451"/>
      <c r="X69" s="463"/>
      <c r="Y69" s="462"/>
      <c r="Z69" s="461"/>
      <c r="AC69" s="454"/>
      <c r="AD69" s="454"/>
      <c r="AE69" s="453"/>
      <c r="AF69" s="456"/>
      <c r="AH69" s="453"/>
    </row>
    <row r="70" spans="1:38">
      <c r="O70" s="456"/>
      <c r="W70" s="460"/>
      <c r="X70" s="459"/>
      <c r="Y70" s="458"/>
      <c r="Z70" s="457"/>
      <c r="AA70" s="454"/>
      <c r="AC70" s="454"/>
      <c r="AD70" s="454"/>
      <c r="AE70" s="453"/>
      <c r="AF70" s="456"/>
      <c r="AH70" s="453"/>
    </row>
    <row r="71" spans="1:38">
      <c r="X71" s="454"/>
      <c r="Y71" s="455"/>
      <c r="Z71" s="453"/>
      <c r="AA71" s="454"/>
      <c r="AC71" s="454"/>
      <c r="AD71" s="454"/>
      <c r="AE71" s="453"/>
      <c r="AF71" s="456"/>
      <c r="AH71" s="453"/>
    </row>
    <row r="72" spans="1:38">
      <c r="AC72" s="454"/>
      <c r="AF72" s="456"/>
      <c r="AH72" s="453"/>
    </row>
    <row r="73" spans="1:38">
      <c r="Y73" s="450"/>
      <c r="Z73" s="450"/>
      <c r="AA73" s="450"/>
      <c r="AC73" s="454"/>
      <c r="AH73" s="453"/>
    </row>
    <row r="74" spans="1:38">
      <c r="X74" s="454"/>
      <c r="Y74" s="455"/>
      <c r="Z74" s="453"/>
      <c r="AA74" s="454"/>
      <c r="AC74" s="454"/>
      <c r="AD74" s="454"/>
      <c r="AE74" s="453"/>
      <c r="AH74" s="453"/>
    </row>
    <row r="75" spans="1:38">
      <c r="X75" s="454"/>
      <c r="Y75" s="455"/>
      <c r="Z75" s="453"/>
      <c r="AA75" s="454"/>
      <c r="AC75" s="454"/>
      <c r="AD75" s="454"/>
      <c r="AE75" s="453"/>
      <c r="AF75" s="456"/>
      <c r="AH75" s="453"/>
    </row>
    <row r="76" spans="1:38">
      <c r="X76" s="454"/>
      <c r="Y76" s="455"/>
      <c r="Z76" s="453"/>
      <c r="AA76" s="454"/>
      <c r="AC76" s="454"/>
      <c r="AD76" s="454"/>
      <c r="AE76" s="453"/>
      <c r="AF76" s="456"/>
      <c r="AH76" s="453"/>
    </row>
    <row r="77" spans="1:38">
      <c r="X77" s="454"/>
      <c r="Y77" s="455"/>
      <c r="Z77" s="453"/>
      <c r="AA77" s="454"/>
      <c r="AC77" s="454"/>
      <c r="AD77" s="454"/>
      <c r="AE77" s="453"/>
      <c r="AF77" s="456"/>
      <c r="AH77" s="453"/>
    </row>
    <row r="78" spans="1:38">
      <c r="AC78" s="454"/>
      <c r="AF78" s="456"/>
      <c r="AH78" s="453"/>
    </row>
    <row r="80" spans="1:38">
      <c r="X80" s="454"/>
      <c r="Y80" s="455"/>
      <c r="Z80" s="453"/>
      <c r="AA80" s="454"/>
      <c r="AD80" s="454"/>
      <c r="AE80" s="453"/>
    </row>
    <row r="81" spans="24:32">
      <c r="X81" s="454"/>
      <c r="Y81" s="455"/>
      <c r="Z81" s="453"/>
      <c r="AA81" s="454"/>
      <c r="AD81" s="454"/>
      <c r="AE81" s="453"/>
      <c r="AF81" s="456"/>
    </row>
    <row r="82" spans="24:32">
      <c r="X82" s="454"/>
      <c r="Y82" s="455"/>
      <c r="Z82" s="453"/>
      <c r="AA82" s="454"/>
      <c r="AD82" s="454"/>
      <c r="AE82" s="453"/>
      <c r="AF82" s="456"/>
    </row>
    <row r="83" spans="24:32">
      <c r="X83" s="454"/>
      <c r="Y83" s="455"/>
      <c r="Z83" s="453"/>
      <c r="AA83" s="454"/>
      <c r="AD83" s="454"/>
      <c r="AE83" s="453"/>
      <c r="AF83" s="456"/>
    </row>
    <row r="84" spans="24:32">
      <c r="AF84" s="456"/>
    </row>
    <row r="86" spans="24:32">
      <c r="X86" s="454"/>
      <c r="Y86" s="455"/>
      <c r="Z86" s="453"/>
      <c r="AA86" s="454"/>
      <c r="AD86" s="454"/>
      <c r="AE86" s="453"/>
    </row>
    <row r="87" spans="24:32">
      <c r="X87" s="454"/>
      <c r="Y87" s="455"/>
      <c r="Z87" s="453"/>
      <c r="AA87" s="454"/>
      <c r="AD87" s="454"/>
      <c r="AE87" s="453"/>
      <c r="AF87" s="456"/>
    </row>
    <row r="88" spans="24:32">
      <c r="X88" s="454"/>
      <c r="Y88" s="455"/>
      <c r="Z88" s="453"/>
      <c r="AA88" s="454"/>
      <c r="AD88" s="454"/>
      <c r="AE88" s="453"/>
      <c r="AF88" s="456"/>
    </row>
    <row r="89" spans="24:32">
      <c r="X89" s="454"/>
      <c r="Y89" s="455"/>
      <c r="Z89" s="453"/>
      <c r="AA89" s="454"/>
      <c r="AD89" s="454"/>
      <c r="AE89" s="453"/>
      <c r="AF89" s="456"/>
    </row>
    <row r="90" spans="24:32">
      <c r="AF90" s="456"/>
    </row>
    <row r="92" spans="24:32">
      <c r="X92" s="454"/>
      <c r="Y92" s="455"/>
      <c r="Z92" s="453"/>
      <c r="AA92" s="454"/>
      <c r="AD92" s="454"/>
      <c r="AE92" s="453"/>
    </row>
    <row r="93" spans="24:32">
      <c r="X93" s="454"/>
      <c r="Y93" s="455"/>
      <c r="Z93" s="453"/>
      <c r="AA93" s="454"/>
      <c r="AD93" s="454"/>
      <c r="AE93" s="453"/>
      <c r="AF93" s="456"/>
    </row>
    <row r="94" spans="24:32">
      <c r="X94" s="454"/>
      <c r="Y94" s="455"/>
      <c r="Z94" s="453"/>
      <c r="AA94" s="454"/>
      <c r="AD94" s="454"/>
      <c r="AE94" s="453"/>
      <c r="AF94" s="456"/>
    </row>
    <row r="95" spans="24:32">
      <c r="X95" s="454"/>
      <c r="Y95" s="455"/>
      <c r="Z95" s="453"/>
      <c r="AA95" s="454"/>
      <c r="AD95" s="454"/>
      <c r="AE95" s="453"/>
      <c r="AF95" s="456"/>
    </row>
    <row r="96" spans="24:32">
      <c r="AF96" s="456"/>
    </row>
    <row r="98" spans="24:32">
      <c r="X98" s="454"/>
      <c r="Y98" s="455"/>
      <c r="Z98" s="453"/>
      <c r="AA98" s="454"/>
      <c r="AD98" s="454"/>
      <c r="AE98" s="453"/>
    </row>
    <row r="99" spans="24:32">
      <c r="X99" s="454"/>
      <c r="Y99" s="455"/>
      <c r="Z99" s="453"/>
      <c r="AA99" s="454"/>
      <c r="AD99" s="454"/>
      <c r="AE99" s="453"/>
      <c r="AF99" s="456"/>
    </row>
    <row r="100" spans="24:32">
      <c r="X100" s="454"/>
      <c r="Y100" s="455"/>
      <c r="Z100" s="453"/>
      <c r="AA100" s="454"/>
      <c r="AD100" s="454"/>
      <c r="AE100" s="453"/>
      <c r="AF100" s="456"/>
    </row>
    <row r="101" spans="24:32">
      <c r="X101" s="454"/>
      <c r="Y101" s="455"/>
      <c r="Z101" s="453"/>
      <c r="AA101" s="454"/>
      <c r="AD101" s="454"/>
      <c r="AE101" s="453"/>
      <c r="AF101" s="456"/>
    </row>
    <row r="102" spans="24:32">
      <c r="AF102" s="456"/>
    </row>
    <row r="104" spans="24:32">
      <c r="X104" s="454"/>
      <c r="Y104" s="455"/>
      <c r="Z104" s="453"/>
      <c r="AA104" s="454"/>
      <c r="AD104" s="454"/>
      <c r="AE104" s="453"/>
    </row>
    <row r="105" spans="24:32">
      <c r="X105" s="454"/>
      <c r="Y105" s="455"/>
      <c r="Z105" s="453"/>
      <c r="AA105" s="454"/>
      <c r="AD105" s="454"/>
      <c r="AE105" s="453"/>
      <c r="AF105" s="456"/>
    </row>
    <row r="106" spans="24:32">
      <c r="X106" s="454"/>
      <c r="Y106" s="455"/>
      <c r="Z106" s="453"/>
      <c r="AA106" s="454"/>
      <c r="AD106" s="454"/>
      <c r="AE106" s="453"/>
      <c r="AF106" s="456"/>
    </row>
    <row r="107" spans="24:32">
      <c r="X107" s="454"/>
      <c r="Y107" s="455"/>
      <c r="Z107" s="453"/>
      <c r="AA107" s="454"/>
      <c r="AD107" s="454"/>
      <c r="AE107" s="453"/>
      <c r="AF107" s="456"/>
    </row>
    <row r="108" spans="24:32">
      <c r="AF108" s="456"/>
    </row>
    <row r="110" spans="24:32">
      <c r="X110" s="454"/>
      <c r="Y110" s="455"/>
      <c r="Z110" s="453"/>
      <c r="AA110" s="454"/>
      <c r="AD110" s="454"/>
      <c r="AE110" s="453"/>
    </row>
    <row r="111" spans="24:32">
      <c r="X111" s="454"/>
      <c r="Y111" s="455"/>
      <c r="Z111" s="453"/>
      <c r="AA111" s="454"/>
      <c r="AD111" s="454"/>
      <c r="AE111" s="453"/>
    </row>
    <row r="112" spans="24:32">
      <c r="X112" s="454"/>
      <c r="Y112" s="455"/>
      <c r="Z112" s="453"/>
      <c r="AA112" s="454"/>
      <c r="AD112" s="454"/>
      <c r="AE112" s="453"/>
    </row>
    <row r="113" spans="24:31">
      <c r="X113" s="454"/>
      <c r="Y113" s="455"/>
      <c r="Z113" s="453"/>
      <c r="AA113" s="454"/>
      <c r="AD113" s="454"/>
      <c r="AE113" s="453"/>
    </row>
  </sheetData>
  <mergeCells count="6">
    <mergeCell ref="B18:C18"/>
    <mergeCell ref="B2:C2"/>
    <mergeCell ref="AF2:AI2"/>
    <mergeCell ref="B15:C15"/>
    <mergeCell ref="C16:D16"/>
    <mergeCell ref="B17:C17"/>
  </mergeCells>
  <pageMargins left="0.25" right="0.25" top="0.3" bottom="0.44" header="0.23" footer="0.21"/>
  <pageSetup scale="9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61121" r:id="rId4" name="CheckBox1">
          <controlPr defaultSize="0" autoFill="0" autoLine="0" linkedCell="A65" r:id="rId5">
            <anchor moveWithCells="1">
              <from>
                <xdr:col>2</xdr:col>
                <xdr:colOff>95250</xdr:colOff>
                <xdr:row>14</xdr:row>
                <xdr:rowOff>171450</xdr:rowOff>
              </from>
              <to>
                <xdr:col>2</xdr:col>
                <xdr:colOff>361950</xdr:colOff>
                <xdr:row>16</xdr:row>
                <xdr:rowOff>19050</xdr:rowOff>
              </to>
            </anchor>
          </controlPr>
        </control>
      </mc:Choice>
      <mc:Fallback>
        <control shapeId="261121" r:id="rId4" name="CheckBox1"/>
      </mc:Fallback>
    </mc:AlternateContent>
  </control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96"/>
  <sheetViews>
    <sheetView workbookViewId="0">
      <selection activeCell="G5" sqref="G5"/>
    </sheetView>
  </sheetViews>
  <sheetFormatPr defaultRowHeight="12.75"/>
  <cols>
    <col min="1" max="1" width="10.140625" bestFit="1" customWidth="1"/>
    <col min="5" max="5" width="10.28515625" customWidth="1"/>
  </cols>
  <sheetData>
    <row r="1" spans="1:35">
      <c r="A1" t="s">
        <v>0</v>
      </c>
    </row>
    <row r="3" spans="1:35">
      <c r="A3" t="s">
        <v>470</v>
      </c>
      <c r="D3" s="643" t="s">
        <v>1342</v>
      </c>
      <c r="E3" s="643" t="s">
        <v>689</v>
      </c>
    </row>
    <row r="5" spans="1:35">
      <c r="A5" s="672">
        <v>44834</v>
      </c>
    </row>
    <row r="7" spans="1:35">
      <c r="B7" s="16" t="s">
        <v>126</v>
      </c>
      <c r="AD7" s="2" t="s">
        <v>127</v>
      </c>
      <c r="AE7" s="2" t="s">
        <v>128</v>
      </c>
      <c r="AH7" s="16" t="s">
        <v>129</v>
      </c>
    </row>
    <row r="8" spans="1:35">
      <c r="E8" s="28"/>
      <c r="M8" s="16" t="s">
        <v>130</v>
      </c>
      <c r="T8" s="2" t="s">
        <v>131</v>
      </c>
      <c r="U8" s="2" t="s">
        <v>132</v>
      </c>
      <c r="V8" s="2" t="s">
        <v>133</v>
      </c>
      <c r="W8" s="2" t="s">
        <v>134</v>
      </c>
      <c r="X8" s="2" t="s">
        <v>135</v>
      </c>
      <c r="Z8" s="2" t="s">
        <v>136</v>
      </c>
      <c r="AA8" s="16" t="s">
        <v>137</v>
      </c>
      <c r="AB8" s="2" t="s">
        <v>138</v>
      </c>
      <c r="AC8" s="2" t="s">
        <v>139</v>
      </c>
      <c r="AD8" s="2" t="s">
        <v>140</v>
      </c>
      <c r="AH8" s="16" t="s">
        <v>141</v>
      </c>
    </row>
    <row r="9" spans="1:35">
      <c r="B9" s="16" t="s">
        <v>142</v>
      </c>
      <c r="C9" s="16" t="s">
        <v>143</v>
      </c>
      <c r="E9" s="28">
        <f>E11+E10</f>
        <v>481588.67547046405</v>
      </c>
      <c r="F9" s="16" t="s">
        <v>144</v>
      </c>
      <c r="K9" s="29"/>
      <c r="M9" s="16" t="s">
        <v>145</v>
      </c>
      <c r="P9" s="16" t="s">
        <v>146</v>
      </c>
      <c r="T9" s="30">
        <f>$E$12*1.25</f>
        <v>555615.21683399787</v>
      </c>
      <c r="U9" s="31">
        <f>100*(+T9/$E$13)</f>
        <v>384.34586924727904</v>
      </c>
      <c r="V9" s="32">
        <f>EXP(5.7226-(0.68367*LN(+U9)))</f>
        <v>5.2263268116487414</v>
      </c>
      <c r="W9" s="32">
        <f>(+V9*U9)/100</f>
        <v>20.087171213934958</v>
      </c>
      <c r="X9" s="31">
        <f>100*((((W9/100)-((W9/100)-0.03574)*$E$25)-0.03574-0.00619)/0.344)</f>
        <v>36.123271101769241</v>
      </c>
      <c r="Y9">
        <v>0</v>
      </c>
      <c r="Z9" s="31">
        <f>X9+Y9</f>
        <v>36.123271101769241</v>
      </c>
      <c r="AA9" s="31">
        <f>100*($E$21*$E$23+($E$22*(Z9/100))/(1-$E$25))</f>
        <v>29.535395773495626</v>
      </c>
      <c r="AB9" s="32">
        <f>AA9/U9</f>
        <v>7.6845877988331521E-2</v>
      </c>
      <c r="AC9" s="30">
        <f>$E$12/(1-AB9)</f>
        <v>481492.9196206092</v>
      </c>
      <c r="AD9" t="str">
        <f>IF(AC9=$T$9,"yes","not yet")</f>
        <v>not yet</v>
      </c>
      <c r="AE9" s="31">
        <f>100*(1-AB9)</f>
        <v>92.315412201166851</v>
      </c>
      <c r="AH9">
        <v>0</v>
      </c>
      <c r="AI9">
        <v>1</v>
      </c>
    </row>
    <row r="10" spans="1:35">
      <c r="B10" s="16" t="s">
        <v>142</v>
      </c>
      <c r="C10" s="16" t="s">
        <v>147</v>
      </c>
      <c r="E10" s="28">
        <f>(+E12-((H19/100)*E11))/H29</f>
        <v>-59626.938320432178</v>
      </c>
      <c r="F10" s="33" t="s">
        <v>144</v>
      </c>
      <c r="K10" s="29"/>
      <c r="M10" s="16" t="s">
        <v>148</v>
      </c>
      <c r="P10" s="16" t="s">
        <v>149</v>
      </c>
      <c r="T10" s="30">
        <f>$E$12*1.25</f>
        <v>555615.21683399787</v>
      </c>
      <c r="U10" s="31">
        <f>100*(+T10/$E$13)</f>
        <v>384.34586924727904</v>
      </c>
      <c r="V10" s="32">
        <f>EXP(5.70827-(0.68367*LN(+U10)))</f>
        <v>5.1519676046169556</v>
      </c>
      <c r="W10" s="32">
        <f>(+V10*U10)/100</f>
        <v>19.801374673303258</v>
      </c>
      <c r="X10" s="31">
        <f>100*((((W10/100)-((W10/100)-0.03574)*$E$25)-0.03574-0.00619)/0.344)</f>
        <v>35.466936022992947</v>
      </c>
      <c r="Y10">
        <v>0</v>
      </c>
      <c r="Z10" s="31">
        <f>X10+Y10</f>
        <v>35.466936022992947</v>
      </c>
      <c r="AA10" s="31">
        <f>100*($E$21*$E$23+($E$22*(Z10/100))/(1-$E$25))</f>
        <v>29.036913435184513</v>
      </c>
      <c r="AB10" s="32">
        <f>AA10/U10</f>
        <v>7.55489150749864E-2</v>
      </c>
      <c r="AC10" s="30">
        <f>$E$12/(1-AB10)</f>
        <v>480817.40690828772</v>
      </c>
      <c r="AD10" t="str">
        <f>IF(AC10=$T$10,"yes","not yet")</f>
        <v>not yet</v>
      </c>
      <c r="AE10" s="31">
        <f>100*(1-AB10)</f>
        <v>92.445108492501362</v>
      </c>
      <c r="AH10">
        <v>50</v>
      </c>
      <c r="AI10">
        <v>2</v>
      </c>
    </row>
    <row r="11" spans="1:35">
      <c r="B11" s="34" t="s">
        <v>150</v>
      </c>
      <c r="C11" s="16" t="s">
        <v>151</v>
      </c>
      <c r="D11" s="34" t="s">
        <v>152</v>
      </c>
      <c r="E11" s="28">
        <f>+'Results of Operations Regulated'!J21</f>
        <v>541215.61379089626</v>
      </c>
      <c r="F11" s="16" t="s">
        <v>153</v>
      </c>
      <c r="K11" s="29"/>
      <c r="M11" s="16" t="s">
        <v>154</v>
      </c>
      <c r="P11" s="16" t="s">
        <v>155</v>
      </c>
      <c r="T11" s="30">
        <f>$E$12*1.25</f>
        <v>555615.21683399787</v>
      </c>
      <c r="U11" s="31">
        <f>100*(+T11/$E$13)</f>
        <v>384.34586924727904</v>
      </c>
      <c r="V11" s="32">
        <f>EXP(5.6985-(0.68367*LN(U11)))</f>
        <v>5.1018779674303003</v>
      </c>
      <c r="W11" s="32">
        <f>(+V11*U11)/100</f>
        <v>19.608857221855398</v>
      </c>
      <c r="X11" s="31">
        <f>100*((((W11/100)-((W11/100)-0.03574)*$E$25)-0.03574-0.00619)/0.344)</f>
        <v>35.024817457167927</v>
      </c>
      <c r="Y11">
        <v>0</v>
      </c>
      <c r="Z11" s="31">
        <f>X11+Y11</f>
        <v>35.024817457167927</v>
      </c>
      <c r="AA11" s="31">
        <f>100*($E$21*$E$23+($E$22*(Z11/100))/(1-$E$25))</f>
        <v>28.701127182659185</v>
      </c>
      <c r="AB11" s="32">
        <f>AA11/U11</f>
        <v>7.4675258612428477E-2</v>
      </c>
      <c r="AC11" s="30">
        <f>$E$12/(1-AB11)</f>
        <v>480363.4373816264</v>
      </c>
      <c r="AD11" t="str">
        <f>IF(AC11=$T$11,"yes","not yet")</f>
        <v>not yet</v>
      </c>
      <c r="AE11" s="31">
        <f>100*(1-AB11)</f>
        <v>92.532474138757152</v>
      </c>
      <c r="AH11">
        <v>125</v>
      </c>
      <c r="AI11">
        <v>3</v>
      </c>
    </row>
    <row r="12" spans="1:35">
      <c r="B12" s="34" t="s">
        <v>150</v>
      </c>
      <c r="C12" s="16" t="s">
        <v>156</v>
      </c>
      <c r="D12" s="34" t="s">
        <v>152</v>
      </c>
      <c r="E12" s="28">
        <f>+'Results of Operations Regulated'!J102</f>
        <v>444492.17346719833</v>
      </c>
      <c r="F12" s="16" t="s">
        <v>153</v>
      </c>
      <c r="K12" s="29"/>
      <c r="M12" s="16" t="s">
        <v>157</v>
      </c>
      <c r="P12" s="16" t="s">
        <v>158</v>
      </c>
      <c r="T12" s="30">
        <f>$E$12*1.25</f>
        <v>555615.21683399787</v>
      </c>
      <c r="U12" s="31">
        <f>100*(+T12/$E$13)</f>
        <v>384.34586924727904</v>
      </c>
      <c r="V12" s="32">
        <f>EXP(5.6922-(0.68367*LN(U12)))</f>
        <v>5.0698371707199898</v>
      </c>
      <c r="W12" s="32">
        <f>(+V12*U12)/100</f>
        <v>19.485709743225403</v>
      </c>
      <c r="X12" s="31">
        <f>100*((((W12/100)-((W12/100)-0.03574)*$E$25)-0.03574-0.00619)/0.344)</f>
        <v>34.742007840546705</v>
      </c>
      <c r="Y12">
        <v>0</v>
      </c>
      <c r="Z12" s="31">
        <f>X12+Y12</f>
        <v>34.742007840546705</v>
      </c>
      <c r="AA12" s="31">
        <f>100*($E$21*$E$23+($E$22*(Z12/100))/(1-$E$25))</f>
        <v>28.486335068769652</v>
      </c>
      <c r="AB12" s="32">
        <f>AA12/U12</f>
        <v>7.4116407507016077E-2</v>
      </c>
      <c r="AC12" s="30">
        <f>$E$12/(1-AB12)</f>
        <v>480073.49635647266</v>
      </c>
      <c r="AD12" t="str">
        <f>IF(AC12=$T$12,"yes","not yet")</f>
        <v>not yet</v>
      </c>
      <c r="AE12" s="31">
        <f>100*(1-AB12)</f>
        <v>92.588359249298392</v>
      </c>
      <c r="AH12">
        <v>401</v>
      </c>
      <c r="AI12">
        <v>4</v>
      </c>
    </row>
    <row r="13" spans="1:35">
      <c r="B13" s="34" t="s">
        <v>150</v>
      </c>
      <c r="C13" s="16" t="s">
        <v>159</v>
      </c>
      <c r="E13" s="28">
        <f>+'Results of Operations Regulated'!J108</f>
        <v>144561.25622532141</v>
      </c>
      <c r="F13" s="16" t="s">
        <v>153</v>
      </c>
      <c r="K13" s="29"/>
      <c r="Z13" s="31"/>
    </row>
    <row r="14" spans="1:35">
      <c r="C14" s="16" t="s">
        <v>160</v>
      </c>
      <c r="E14" s="31">
        <f>U9</f>
        <v>384.34586924727904</v>
      </c>
      <c r="F14" s="16" t="s">
        <v>161</v>
      </c>
      <c r="H14" s="31"/>
      <c r="U14" s="2" t="s">
        <v>162</v>
      </c>
      <c r="V14" s="2" t="s">
        <v>133</v>
      </c>
      <c r="W14" s="2" t="s">
        <v>134</v>
      </c>
      <c r="X14" s="2" t="s">
        <v>135</v>
      </c>
      <c r="Z14" s="31"/>
      <c r="AH14" s="16" t="s">
        <v>163</v>
      </c>
    </row>
    <row r="15" spans="1:35">
      <c r="C15" s="16" t="s">
        <v>164</v>
      </c>
      <c r="E15" s="31">
        <f>HLOOKUP($AI$38,$AI$32:$AQ$36,$E$16+1)</f>
        <v>334.71457457494245</v>
      </c>
      <c r="F15" s="16" t="s">
        <v>161</v>
      </c>
      <c r="U15" s="31">
        <f>100*(+AC9/$E$13)</f>
        <v>333.07189781896119</v>
      </c>
      <c r="V15" s="35">
        <f>EXP(5.7226-(0.68367*LN(+U15)))</f>
        <v>5.7638152720305049</v>
      </c>
      <c r="W15" s="32">
        <f>(+V15*U15)/100</f>
        <v>19.197648913331122</v>
      </c>
      <c r="X15" s="31">
        <f>100*((((W15/100)-((W15/100)-0.03574)*$E$25)-0.03574-0.00619)/0.344)</f>
        <v>34.080472795149966</v>
      </c>
      <c r="Y15">
        <v>0</v>
      </c>
      <c r="Z15" s="31">
        <f>X15+Y15</f>
        <v>34.080472795149966</v>
      </c>
      <c r="AA15" s="31">
        <f>100*($E$21*$E$23+($E$22*(Z15/100))/(1-$E$25))</f>
        <v>27.983903388721487</v>
      </c>
      <c r="AB15" s="32">
        <f>AA15/U15</f>
        <v>8.4017605724070826E-2</v>
      </c>
      <c r="AC15" s="30">
        <f>$E$12/(1-AB15)</f>
        <v>485262.79134279973</v>
      </c>
      <c r="AD15" t="str">
        <f>IF(OR(OR(AC15=AC9,AC15=(AC9+1)),AC15=(AC8193-1)),"yes","not yet")</f>
        <v>not yet</v>
      </c>
      <c r="AE15" s="31">
        <f>100*(1-AB15)</f>
        <v>91.598239427592915</v>
      </c>
    </row>
    <row r="16" spans="1:35">
      <c r="C16" s="16" t="s">
        <v>165</v>
      </c>
      <c r="E16">
        <f>VLOOKUP(E14,AH9:AI12,2)</f>
        <v>3</v>
      </c>
      <c r="F16" s="16" t="s">
        <v>161</v>
      </c>
      <c r="U16" s="31">
        <f>100*(+AC10/$E$13)</f>
        <v>332.60461306372321</v>
      </c>
      <c r="V16" s="35">
        <f>EXP(5.70827-(0.68367*LN(+U16)))</f>
        <v>5.6872649758106482</v>
      </c>
      <c r="W16" s="32">
        <f>(+V16*U16)/100</f>
        <v>18.916105666703658</v>
      </c>
      <c r="X16" s="31">
        <f>100*((((W16/100)-((W16/100)-0.03574)*$E$25)-0.03574-0.00619)/0.344)</f>
        <v>33.433905455511315</v>
      </c>
      <c r="Y16">
        <v>0</v>
      </c>
      <c r="Z16" s="31">
        <f>X16+Y16</f>
        <v>33.433905455511315</v>
      </c>
      <c r="AA16" s="31">
        <f>100*($E$21*$E$23+($E$22*(Z16/100))/(1-$E$25))</f>
        <v>27.492839586464292</v>
      </c>
      <c r="AB16" s="32">
        <f>AA16/U16</f>
        <v>8.2659225117833773E-2</v>
      </c>
      <c r="AC16" s="30">
        <f>$E$12/(1-AB16)</f>
        <v>484544.22351856536</v>
      </c>
      <c r="AD16" t="str">
        <f>IF(OR(OR(AC16=AC10,AC16=(AC10+1)),AC16=(AC10-1)),"yes","not yet")</f>
        <v>not yet</v>
      </c>
      <c r="AE16" s="31">
        <f>100*(1-AB16)</f>
        <v>91.734077488216627</v>
      </c>
    </row>
    <row r="17" spans="2:42">
      <c r="U17" s="31">
        <f>100*(+AC11/$E$13)</f>
        <v>332.29058042557722</v>
      </c>
      <c r="V17" s="35">
        <f>EXP(5.6985-(0.68367*LN(U17)))</f>
        <v>5.6356092505486339</v>
      </c>
      <c r="W17" s="32">
        <f>(+V17*U17)/100</f>
        <v>18.726598689165577</v>
      </c>
      <c r="X17" s="31">
        <f>100*((((W17/100)-((W17/100)-0.03574)*$E$25)-0.03574-0.00619)/0.344)</f>
        <v>32.998700478025597</v>
      </c>
      <c r="Y17">
        <v>0</v>
      </c>
      <c r="Z17" s="31">
        <f>X17+Y17</f>
        <v>32.998700478025597</v>
      </c>
      <c r="AA17" s="31">
        <f>100*($E$21*$E$23+($E$22*(Z17/100))/(1-$E$25))</f>
        <v>27.162304160525768</v>
      </c>
      <c r="AB17" s="32">
        <f>AA17/U17</f>
        <v>8.1742624559919722E-2</v>
      </c>
      <c r="AC17" s="30">
        <f>$E$12/(1-AB17)</f>
        <v>484060.55356122006</v>
      </c>
      <c r="AD17" t="str">
        <f>IF(OR(OR(AC17=AC11,AC17=(AC11+1)),AC17=(AC11-1)),"yes","not yet")</f>
        <v>not yet</v>
      </c>
      <c r="AE17" s="31">
        <f>100*(1-AB17)</f>
        <v>91.825737544008021</v>
      </c>
      <c r="AI17">
        <v>1</v>
      </c>
      <c r="AJ17">
        <v>2</v>
      </c>
      <c r="AK17">
        <v>3</v>
      </c>
      <c r="AL17">
        <v>4</v>
      </c>
      <c r="AM17">
        <v>5</v>
      </c>
      <c r="AN17">
        <v>7</v>
      </c>
      <c r="AO17">
        <v>8</v>
      </c>
      <c r="AP17">
        <v>9</v>
      </c>
    </row>
    <row r="18" spans="2:42">
      <c r="C18" s="16" t="s">
        <v>166</v>
      </c>
      <c r="U18" s="31">
        <f>100*(+AC12/$E$13)</f>
        <v>332.09001422082463</v>
      </c>
      <c r="V18" s="35">
        <f>EXP(5.6922-(0.68367*LN(U18)))</f>
        <v>5.6025286440788618</v>
      </c>
      <c r="W18" s="32">
        <f>(+V18*U18)/100</f>
        <v>18.605438170847265</v>
      </c>
      <c r="X18" s="31">
        <f>100*((((W18/100)-((W18/100)-0.03574)*$E$25)-0.03574-0.00619)/0.344)</f>
        <v>32.720453938864367</v>
      </c>
      <c r="Y18">
        <v>0</v>
      </c>
      <c r="Z18" s="31">
        <f>X18+Y18</f>
        <v>32.720453938864367</v>
      </c>
      <c r="AA18" s="31">
        <f>100*($E$21*$E$23+($E$22*(Z18/100))/(1-$E$25))</f>
        <v>26.950977675086861</v>
      </c>
      <c r="AB18" s="32">
        <f>AA18/U18</f>
        <v>8.1155640100535206E-2</v>
      </c>
      <c r="AC18" s="30">
        <f>$E$12/(1-AB18)</f>
        <v>483751.32162299217</v>
      </c>
      <c r="AD18" t="str">
        <f>IF(OR(OR(AC18=AC12,AC18=(AC12+1)),AC18=(AC12-1)),"yes","not yet")</f>
        <v>not yet</v>
      </c>
      <c r="AE18" s="31">
        <f>100*(1-AB18)</f>
        <v>91.884435989946482</v>
      </c>
      <c r="AI18" t="str">
        <f>AD9</f>
        <v>not yet</v>
      </c>
      <c r="AJ18" t="str">
        <f>AD15</f>
        <v>not yet</v>
      </c>
      <c r="AK18" t="str">
        <f>AD21</f>
        <v>not yet</v>
      </c>
      <c r="AL18" t="str">
        <f>AD27</f>
        <v>not yet</v>
      </c>
      <c r="AM18" t="str">
        <f>AD33</f>
        <v>not yet</v>
      </c>
      <c r="AN18">
        <f>AC45</f>
        <v>485059</v>
      </c>
      <c r="AO18">
        <f>AC51</f>
        <v>485059</v>
      </c>
      <c r="AP18">
        <f>AC57</f>
        <v>485059</v>
      </c>
    </row>
    <row r="19" spans="2:42">
      <c r="C19" s="16" t="s">
        <v>167</v>
      </c>
      <c r="E19" s="34" t="s">
        <v>142</v>
      </c>
      <c r="F19" s="16" t="s">
        <v>168</v>
      </c>
      <c r="H19" s="31">
        <f>HLOOKUP($AI$29,$AI$23:$AQ$27,$E$16+1)</f>
        <v>91.862473198725297</v>
      </c>
      <c r="I19" s="16" t="s">
        <v>144</v>
      </c>
      <c r="J19" s="36"/>
      <c r="Z19" s="31"/>
      <c r="AI19" t="str">
        <f>AD10</f>
        <v>not yet</v>
      </c>
      <c r="AJ19" t="str">
        <f>AD16</f>
        <v>not yet</v>
      </c>
      <c r="AK19" t="str">
        <f>AD22</f>
        <v>not yet</v>
      </c>
      <c r="AL19" t="str">
        <f>AD28</f>
        <v>not yet</v>
      </c>
      <c r="AM19" t="str">
        <f>AD34</f>
        <v>not yet</v>
      </c>
      <c r="AN19">
        <f>AC46</f>
        <v>484347</v>
      </c>
      <c r="AO19">
        <f>AC52</f>
        <v>484347</v>
      </c>
      <c r="AP19">
        <f>AC58</f>
        <v>484347</v>
      </c>
    </row>
    <row r="20" spans="2:42">
      <c r="C20" s="37" t="s">
        <v>152</v>
      </c>
      <c r="D20" s="37" t="s">
        <v>152</v>
      </c>
      <c r="E20" s="38"/>
      <c r="H20" s="37" t="s">
        <v>169</v>
      </c>
      <c r="U20" s="16" t="s">
        <v>170</v>
      </c>
      <c r="V20" s="2" t="s">
        <v>133</v>
      </c>
      <c r="W20" s="2" t="s">
        <v>134</v>
      </c>
      <c r="X20" s="2" t="s">
        <v>135</v>
      </c>
      <c r="Z20" s="31"/>
      <c r="AI20" t="str">
        <f>AD11</f>
        <v>not yet</v>
      </c>
      <c r="AJ20" t="str">
        <f>AD17</f>
        <v>not yet</v>
      </c>
      <c r="AK20" t="str">
        <f>AD23</f>
        <v>not yet</v>
      </c>
      <c r="AL20" t="str">
        <f>AD29</f>
        <v>not yet</v>
      </c>
      <c r="AM20" t="str">
        <f>AD35</f>
        <v>not yet</v>
      </c>
      <c r="AN20">
        <f>AC47</f>
        <v>483867</v>
      </c>
      <c r="AO20">
        <f>AC53</f>
        <v>483867</v>
      </c>
      <c r="AP20">
        <f>AC59</f>
        <v>483867</v>
      </c>
    </row>
    <row r="21" spans="2:42">
      <c r="B21" s="34" t="s">
        <v>150</v>
      </c>
      <c r="C21" s="16" t="s">
        <v>171</v>
      </c>
      <c r="E21" s="40">
        <v>0.4</v>
      </c>
      <c r="F21" s="16" t="s">
        <v>172</v>
      </c>
      <c r="U21" s="31">
        <f>100*(+AC15/$E$13)</f>
        <v>335.67970008951875</v>
      </c>
      <c r="V21" s="35">
        <f>EXP(5.7226-(0.68367*LN(+U21)))</f>
        <v>5.7331645090658911</v>
      </c>
      <c r="W21" s="32">
        <f>(+V21*U21)/100</f>
        <v>19.245069429671116</v>
      </c>
      <c r="X21" s="31">
        <f>100*((((W21/100)-((W21/100)-0.03574)*$E$25)-0.03574-0.00619)/0.344)</f>
        <v>34.189374562326122</v>
      </c>
      <c r="Y21">
        <v>0</v>
      </c>
      <c r="Z21" s="31">
        <f>X21+Y21</f>
        <v>34.189374562326122</v>
      </c>
      <c r="AA21" s="31">
        <f>100*($E$21*$E$23+($E$22*(Z21/100))/(1-$E$25))</f>
        <v>28.066613591640095</v>
      </c>
      <c r="AB21" s="32">
        <f>AA21/U21</f>
        <v>8.3611292503405238E-2</v>
      </c>
      <c r="AC21" s="30">
        <f>$E$12/(1-AB21)</f>
        <v>485047.632986955</v>
      </c>
      <c r="AD21" t="str">
        <f>IF(OR(OR(AC21=AC15,AC21=(AC15+1)),AC21=(AC7-1)),"yes","not yet")</f>
        <v>not yet</v>
      </c>
      <c r="AE21" s="31">
        <f>100*(1-AB21)</f>
        <v>91.638870749659475</v>
      </c>
      <c r="AI21" t="str">
        <f>AD12</f>
        <v>not yet</v>
      </c>
      <c r="AJ21" t="str">
        <f>AD18</f>
        <v>not yet</v>
      </c>
      <c r="AK21" t="str">
        <f>AD24</f>
        <v>not yet</v>
      </c>
      <c r="AL21" t="str">
        <f>AD30</f>
        <v>not yet</v>
      </c>
      <c r="AM21" t="str">
        <f>AD36</f>
        <v>not yet</v>
      </c>
      <c r="AN21">
        <f>AC48</f>
        <v>483560</v>
      </c>
      <c r="AO21">
        <f>AC54</f>
        <v>483560</v>
      </c>
      <c r="AP21">
        <f>AC60</f>
        <v>483560</v>
      </c>
    </row>
    <row r="22" spans="2:42">
      <c r="B22" s="34" t="s">
        <v>150</v>
      </c>
      <c r="C22" s="16" t="s">
        <v>173</v>
      </c>
      <c r="E22" s="40">
        <v>0.6</v>
      </c>
      <c r="F22" s="16" t="s">
        <v>174</v>
      </c>
      <c r="H22" s="46">
        <v>1.7999999999999999E-2</v>
      </c>
      <c r="I22" s="16" t="s">
        <v>150</v>
      </c>
      <c r="U22" s="31">
        <f>100*(+AC16/$E$13)</f>
        <v>335.18263203477363</v>
      </c>
      <c r="V22" s="35">
        <f>EXP(5.70827-(0.68367*LN(+U22)))</f>
        <v>5.6573227295112511</v>
      </c>
      <c r="W22" s="32">
        <f>(+V22*U22)/100</f>
        <v>18.962363227477308</v>
      </c>
      <c r="X22" s="31">
        <f>100*((((W22/100)-((W22/100)-0.03574)*$E$25)-0.03574-0.00619)/0.344)</f>
        <v>33.540136481706618</v>
      </c>
      <c r="Y22">
        <v>0</v>
      </c>
      <c r="Z22" s="31">
        <f>X22+Y22</f>
        <v>33.540136481706618</v>
      </c>
      <c r="AA22" s="31">
        <f>100*($E$21*$E$23+($E$22*(Z22/100))/(1-$E$25))</f>
        <v>27.573521378511355</v>
      </c>
      <c r="AB22" s="32">
        <f>AA22/U22</f>
        <v>8.2264171061377456E-2</v>
      </c>
      <c r="AC22" s="30">
        <f>$E$12/(1-AB22)</f>
        <v>484335.64371270244</v>
      </c>
      <c r="AD22" t="str">
        <f>IF(OR(OR(AC22=AC16,AC22=(AC16+1)),AC22=(AC16-1)),"yes","not yet")</f>
        <v>not yet</v>
      </c>
      <c r="AE22" s="31">
        <f>100*(1-AB22)</f>
        <v>91.773582893862255</v>
      </c>
    </row>
    <row r="23" spans="2:42">
      <c r="B23" s="34" t="s">
        <v>150</v>
      </c>
      <c r="C23" s="16" t="s">
        <v>175</v>
      </c>
      <c r="E23" s="41">
        <v>5.2499999999999998E-2</v>
      </c>
      <c r="F23" s="16" t="s">
        <v>176</v>
      </c>
      <c r="H23" s="77">
        <v>5.1000000000000004E-3</v>
      </c>
      <c r="I23" s="16" t="s">
        <v>150</v>
      </c>
      <c r="U23" s="31">
        <f>100*(+AC17/$E$13)</f>
        <v>334.84805417485836</v>
      </c>
      <c r="V23" s="35">
        <f>EXP(5.6985-(0.68367*LN(U23)))</f>
        <v>5.6061462560405229</v>
      </c>
      <c r="W23" s="32">
        <f>(+V23*U23)/100</f>
        <v>18.772071652548362</v>
      </c>
      <c r="X23" s="31">
        <f>100*((((W23/100)-((W23/100)-0.03574)*$E$25)-0.03574-0.00619)/0.344)</f>
        <v>33.103129667189549</v>
      </c>
      <c r="Y23">
        <v>0</v>
      </c>
      <c r="Z23" s="31">
        <f>X23+Y23</f>
        <v>33.103129667189549</v>
      </c>
      <c r="AA23" s="31">
        <f>100*($E$21*$E$23+($E$22*(Z23/100))/(1-$E$25))</f>
        <v>27.241617468751556</v>
      </c>
      <c r="AB23" s="32">
        <f>AA23/U23</f>
        <v>8.1355161330953787E-2</v>
      </c>
      <c r="AC23" s="30">
        <f>$E$12/(1-AB23)</f>
        <v>483856.387971644</v>
      </c>
      <c r="AD23" t="str">
        <f>IF(OR(OR(AC23=AC17,AC23=(AC17+1)),AC23=(AC17-1)),"yes","not yet")</f>
        <v>not yet</v>
      </c>
      <c r="AE23" s="31">
        <f>100*(1-AB23)</f>
        <v>91.864483866904621</v>
      </c>
      <c r="AI23" t="str">
        <f>HLOOKUP(1,$AI$17:$AQ$21,$E$16+1)</f>
        <v>not yet</v>
      </c>
      <c r="AJ23" t="str">
        <f>HLOOKUP(2,$AI$17:$AQ$21,$E$16+1)</f>
        <v>not yet</v>
      </c>
      <c r="AK23" t="str">
        <f>HLOOKUP(3,$AI$17:$AQ$21,$E$16+1)</f>
        <v>not yet</v>
      </c>
      <c r="AL23" t="str">
        <f>HLOOKUP(4,$AI$17:$AQ$21,$E$16+1)</f>
        <v>not yet</v>
      </c>
      <c r="AM23" t="str">
        <f>HLOOKUP(5,$AI$17:$AQ$21,$E$16+1)</f>
        <v>not yet</v>
      </c>
      <c r="AN23">
        <f>HLOOKUP(7,$AI$17:$AQ$21,$E$16+1)</f>
        <v>483867</v>
      </c>
      <c r="AO23">
        <f>HLOOKUP(8,$AI$17:$AQ$21,$E$16+1)</f>
        <v>483867</v>
      </c>
      <c r="AP23">
        <f>HLOOKUP(9,$AI$17:$AQ$21,$E$16+1)</f>
        <v>483867</v>
      </c>
    </row>
    <row r="24" spans="2:42">
      <c r="E24" s="39"/>
      <c r="F24" s="16" t="s">
        <v>177</v>
      </c>
      <c r="H24" s="46">
        <v>0</v>
      </c>
      <c r="I24" s="16" t="s">
        <v>150</v>
      </c>
      <c r="U24" s="31">
        <f>100*(+AC18/$E$13)</f>
        <v>334.63414351421363</v>
      </c>
      <c r="V24" s="35">
        <f>EXP(5.6922-(0.68367*LN(U24)))</f>
        <v>5.5733729622342594</v>
      </c>
      <c r="W24" s="32">
        <f>(+V24*U24)/100</f>
        <v>18.65040887702537</v>
      </c>
      <c r="X24" s="31">
        <f>100*((((W24/100)-((W24/100)-0.03574)*$E$25)-0.03574-0.00619)/0.344)</f>
        <v>32.823729688517574</v>
      </c>
      <c r="Y24">
        <v>0</v>
      </c>
      <c r="Z24" s="31">
        <f>X24+Y24</f>
        <v>32.823729688517574</v>
      </c>
      <c r="AA24" s="31">
        <f>100*($E$21*$E$23+($E$22*(Z24/100))/(1-$E$25))</f>
        <v>27.029414953304489</v>
      </c>
      <c r="AB24" s="32">
        <f>AA24/U24</f>
        <v>8.0773033706156794E-2</v>
      </c>
      <c r="AC24" s="30">
        <f>$E$12/(1-AB24)</f>
        <v>483549.97162377677</v>
      </c>
      <c r="AD24" t="str">
        <f>IF(OR(OR(AC24=AC18,AC24=(AC18+1)),AC24=(AC18-1)),"yes","not yet")</f>
        <v>not yet</v>
      </c>
      <c r="AE24" s="31">
        <f>100*(1-AB24)</f>
        <v>91.922696629384319</v>
      </c>
      <c r="AH24">
        <v>1</v>
      </c>
      <c r="AI24" s="31">
        <f>AE9</f>
        <v>92.315412201166851</v>
      </c>
      <c r="AJ24" s="31">
        <f>AE15</f>
        <v>91.598239427592915</v>
      </c>
      <c r="AK24" s="31">
        <f>AE21</f>
        <v>91.638870749659475</v>
      </c>
      <c r="AL24" s="31">
        <f>AE27</f>
        <v>91.636565258030089</v>
      </c>
      <c r="AM24" s="31">
        <f>AE33</f>
        <v>91.636696064237526</v>
      </c>
      <c r="AN24" s="31" t="str">
        <f>AD45</f>
        <v>yes</v>
      </c>
      <c r="AO24" s="31" t="str">
        <f>AD51</f>
        <v>yes</v>
      </c>
      <c r="AP24" s="31" t="str">
        <f>AD57</f>
        <v>yes</v>
      </c>
    </row>
    <row r="25" spans="2:42">
      <c r="B25" s="34" t="s">
        <v>150</v>
      </c>
      <c r="C25" s="16" t="s">
        <v>178</v>
      </c>
      <c r="E25" s="40">
        <v>0.21</v>
      </c>
      <c r="F25" s="16" t="s">
        <v>179</v>
      </c>
      <c r="H25" s="46">
        <v>1.2E-2</v>
      </c>
      <c r="I25" s="16" t="s">
        <v>150</v>
      </c>
      <c r="Z25" s="31"/>
      <c r="AH25">
        <v>2</v>
      </c>
      <c r="AI25" s="31">
        <f>AE10</f>
        <v>92.445108492501362</v>
      </c>
      <c r="AJ25" s="31">
        <f>AE16</f>
        <v>91.734077488216627</v>
      </c>
      <c r="AK25" s="31">
        <f>AE22</f>
        <v>91.773582893862255</v>
      </c>
      <c r="AL25" s="31">
        <f>AE28</f>
        <v>91.771384592776371</v>
      </c>
      <c r="AM25" s="31">
        <f>AE34</f>
        <v>91.771506908113537</v>
      </c>
      <c r="AN25" s="31" t="str">
        <f>AD46</f>
        <v>yes</v>
      </c>
      <c r="AO25" s="31" t="str">
        <f>AD52</f>
        <v>yes</v>
      </c>
      <c r="AP25" s="31" t="str">
        <f>AD58</f>
        <v>yes</v>
      </c>
    </row>
    <row r="26" spans="2:42">
      <c r="H26" s="37" t="s">
        <v>152</v>
      </c>
      <c r="U26" s="16" t="s">
        <v>180</v>
      </c>
      <c r="V26" s="2" t="s">
        <v>133</v>
      </c>
      <c r="W26" s="2" t="s">
        <v>134</v>
      </c>
      <c r="X26" s="2" t="s">
        <v>135</v>
      </c>
      <c r="Z26" s="31"/>
      <c r="AH26">
        <v>3</v>
      </c>
      <c r="AI26" s="31">
        <f>AE11</f>
        <v>92.532474138757152</v>
      </c>
      <c r="AJ26" s="31">
        <f>AE17</f>
        <v>91.825737544008021</v>
      </c>
      <c r="AK26" s="31">
        <f>AE23</f>
        <v>91.864483866904621</v>
      </c>
      <c r="AL26" s="31">
        <f>AE29</f>
        <v>91.862356393739702</v>
      </c>
      <c r="AM26" s="31">
        <f>AE35</f>
        <v>91.862473198725297</v>
      </c>
      <c r="AN26" s="31" t="str">
        <f>AD47</f>
        <v>yes</v>
      </c>
      <c r="AO26" s="31" t="str">
        <f>AD53</f>
        <v>yes</v>
      </c>
      <c r="AP26" s="31" t="str">
        <f>AD59</f>
        <v>yes</v>
      </c>
    </row>
    <row r="27" spans="2:42">
      <c r="F27" s="16" t="s">
        <v>181</v>
      </c>
      <c r="H27" s="29">
        <f>SUM(H22:H25)</f>
        <v>3.5099999999999999E-2</v>
      </c>
      <c r="U27" s="31">
        <f>100*(+AC21/$E$13)</f>
        <v>335.5308646674543</v>
      </c>
      <c r="V27" s="35">
        <f>EXP(5.7226-(0.68367*LN(+U27)))</f>
        <v>5.7349030474726819</v>
      </c>
      <c r="W27" s="32">
        <f>(+V27*U27)/100</f>
        <v>19.242369783025275</v>
      </c>
      <c r="X27" s="31">
        <f>100*((((W27/100)-((W27/100)-0.03574)*$E$25)-0.03574-0.00619)/0.344)</f>
        <v>34.1831747924127</v>
      </c>
      <c r="Y27">
        <v>0</v>
      </c>
      <c r="Z27" s="31">
        <f>X27+Y27</f>
        <v>34.1831747924127</v>
      </c>
      <c r="AA27" s="31">
        <f>100*($E$21*$E$23+($E$22*(Z27/100))/(1-$E$25))</f>
        <v>28.061904905629902</v>
      </c>
      <c r="AB27" s="32">
        <f>AA27/U27</f>
        <v>8.3634347419699065E-2</v>
      </c>
      <c r="AC27" s="30">
        <f>$E$12/(1-AB27)</f>
        <v>485059.83633890905</v>
      </c>
      <c r="AD27" t="str">
        <f>IF(OR(OR(AC27=AC21,AC27=(AC21+1)),AC27=(AC13-1)),"yes","not yet")</f>
        <v>not yet</v>
      </c>
      <c r="AE27" s="31">
        <f>100*(1-AB27)</f>
        <v>91.636565258030089</v>
      </c>
      <c r="AH27">
        <v>4</v>
      </c>
      <c r="AI27" s="31">
        <f>AE12</f>
        <v>92.588359249298392</v>
      </c>
      <c r="AJ27" s="31">
        <f>AE18</f>
        <v>91.884435989946482</v>
      </c>
      <c r="AK27" s="31">
        <f>AE24</f>
        <v>91.922696629384319</v>
      </c>
      <c r="AL27" s="31">
        <f>AE30</f>
        <v>91.920613872855199</v>
      </c>
      <c r="AM27" s="31">
        <f>AE36</f>
        <v>91.920727240431233</v>
      </c>
      <c r="AN27" s="31" t="str">
        <f>AD48</f>
        <v>yes</v>
      </c>
      <c r="AO27" s="31" t="str">
        <f>AD54</f>
        <v>yes</v>
      </c>
      <c r="AP27" s="31" t="str">
        <f>AD60</f>
        <v>yes</v>
      </c>
    </row>
    <row r="28" spans="2:42">
      <c r="U28" s="31">
        <f>100*(+AC22/$E$13)</f>
        <v>335.03834731332802</v>
      </c>
      <c r="V28" s="35">
        <f>EXP(5.70827-(0.68367*LN(+U28)))</f>
        <v>5.6589882643757683</v>
      </c>
      <c r="W28" s="32">
        <f>(+V28*U28)/100</f>
        <v>18.959780755619761</v>
      </c>
      <c r="X28" s="31">
        <f>100*((((W28/100)-((W28/100)-0.03574)*$E$25)-0.03574-0.00619)/0.344)</f>
        <v>33.534205805057006</v>
      </c>
      <c r="Y28">
        <v>0</v>
      </c>
      <c r="Z28" s="31">
        <f>X28+Y28</f>
        <v>33.534205805057006</v>
      </c>
      <c r="AA28" s="31">
        <f>100*($E$21*$E$23+($E$22*(Z28/100))/(1-$E$25))</f>
        <v>27.569017067131902</v>
      </c>
      <c r="AB28" s="32">
        <f>AA28/U28</f>
        <v>8.2286154072236231E-2</v>
      </c>
      <c r="AC28" s="30">
        <f>$E$12/(1-AB28)</f>
        <v>484347.24553800159</v>
      </c>
      <c r="AD28" t="str">
        <f>IF(OR(OR(AC28=AC22,AC28=(AC22+1)),AC28=(AC22-1)),"yes","not yet")</f>
        <v>not yet</v>
      </c>
      <c r="AE28" s="31">
        <f>100*(1-AB28)</f>
        <v>91.771384592776371</v>
      </c>
    </row>
    <row r="29" spans="2:42">
      <c r="F29" s="16" t="s">
        <v>182</v>
      </c>
      <c r="H29" s="32">
        <f>((+H19/100)-H27)</f>
        <v>0.8835247319872529</v>
      </c>
      <c r="U29" s="31">
        <f>100*(+AC23/$E$13)</f>
        <v>334.70682297992613</v>
      </c>
      <c r="V29" s="35">
        <f>EXP(5.6985-(0.68367*LN(U29)))</f>
        <v>5.6077633975880357</v>
      </c>
      <c r="W29" s="32">
        <f>(+V29*U29)/100</f>
        <v>18.769566708298079</v>
      </c>
      <c r="X29" s="31">
        <f>100*((((W29/100)-((W29/100)-0.03574)*$E$25)-0.03574-0.00619)/0.344)</f>
        <v>33.097377033591528</v>
      </c>
      <c r="Y29">
        <v>0</v>
      </c>
      <c r="Z29" s="31">
        <f>X29+Y29</f>
        <v>33.097377033591528</v>
      </c>
      <c r="AA29" s="31">
        <f>100*($E$21*$E$23+($E$22*(Z29/100))/(1-$E$25))</f>
        <v>27.237248379942937</v>
      </c>
      <c r="AB29" s="32">
        <f>AA29/U29</f>
        <v>8.1376436062602989E-2</v>
      </c>
      <c r="AC29" s="30">
        <f>$E$12/(1-AB29)</f>
        <v>483867.59377477702</v>
      </c>
      <c r="AD29" t="str">
        <f>IF(OR(OR(AC29=AC23,AC29=(AC23+1)),AC29=(AC23-1)),"yes","not yet")</f>
        <v>not yet</v>
      </c>
      <c r="AE29" s="31">
        <f>100*(1-AB29)</f>
        <v>91.862356393739702</v>
      </c>
      <c r="AI29" s="16" t="s">
        <v>183</v>
      </c>
    </row>
    <row r="30" spans="2:42">
      <c r="U30" s="31">
        <f>100*(+AC24/$E$13)</f>
        <v>334.49485999906381</v>
      </c>
      <c r="V30" s="35">
        <f>EXP(5.6922-(0.68367*LN(U30)))</f>
        <v>5.5749594849743547</v>
      </c>
      <c r="W30" s="32">
        <f>(+V30*U30)/100</f>
        <v>18.647952924269497</v>
      </c>
      <c r="X30" s="31">
        <f>100*((((W30/100)-((W30/100)-0.03574)*$E$25)-0.03574-0.00619)/0.344)</f>
        <v>32.818089564456116</v>
      </c>
      <c r="Y30">
        <v>0</v>
      </c>
      <c r="Z30" s="31">
        <f>X30+Y30</f>
        <v>32.818089564456116</v>
      </c>
      <c r="AA30" s="31">
        <f>100*($E$21*$E$23+($E$22*(Z30/100))/(1-$E$25))</f>
        <v>27.025131314776797</v>
      </c>
      <c r="AB30" s="32">
        <f>AA30/U30</f>
        <v>8.0793861271448039E-2</v>
      </c>
      <c r="AC30" s="30">
        <f>$E$12/(1-AB30)</f>
        <v>483560.92800035141</v>
      </c>
      <c r="AD30" t="str">
        <f>IF(OR(OR(AC30=AC24,AC30=(AC24+1)),AC30=(AC24-1)),"yes","not yet")</f>
        <v>not yet</v>
      </c>
      <c r="AE30" s="31">
        <f>100*(1-AB30)</f>
        <v>91.920613872855199</v>
      </c>
      <c r="AI30" s="31">
        <f>HLOOKUP($AI$29,$AI$23:$AQ$27,$E$16+1)</f>
        <v>91.862473198725297</v>
      </c>
    </row>
    <row r="31" spans="2:42">
      <c r="E31" s="30"/>
      <c r="Z31" s="31"/>
    </row>
    <row r="32" spans="2:42">
      <c r="U32" s="16" t="s">
        <v>184</v>
      </c>
      <c r="V32" s="2" t="s">
        <v>133</v>
      </c>
      <c r="W32" s="2" t="s">
        <v>134</v>
      </c>
      <c r="X32" s="2" t="s">
        <v>135</v>
      </c>
      <c r="Z32" s="31"/>
      <c r="AI32" t="str">
        <f>HLOOKUP(1,$AI$17:$AQ$21,$E$16+1)</f>
        <v>not yet</v>
      </c>
      <c r="AJ32" t="str">
        <f>HLOOKUP(2,$AI$17:$AQ$21,$E$16+1)</f>
        <v>not yet</v>
      </c>
      <c r="AK32" t="str">
        <f>HLOOKUP(3,$AI$17:$AQ$21,$E$16+1)</f>
        <v>not yet</v>
      </c>
      <c r="AL32" t="str">
        <f>HLOOKUP(4,$AI$17:$AQ$21,$E$16+1)</f>
        <v>not yet</v>
      </c>
      <c r="AM32" t="str">
        <f>HLOOKUP(5,$AI$17:$AQ$21,$E$16+1)</f>
        <v>not yet</v>
      </c>
      <c r="AN32">
        <f>HLOOKUP(7,$AI$17:$AQ$21,$E$16+1)</f>
        <v>483867</v>
      </c>
      <c r="AO32">
        <f>HLOOKUP(8,$AI$17:$AQ$21,$E$16+1)</f>
        <v>483867</v>
      </c>
      <c r="AP32">
        <f>HLOOKUP(9,$AI$17:$AQ$21,$E$16+1)</f>
        <v>483867</v>
      </c>
    </row>
    <row r="33" spans="5:42">
      <c r="E33" s="30"/>
      <c r="U33" s="31">
        <f>100*(+AC27/$E$13)</f>
        <v>335.5393063151493</v>
      </c>
      <c r="V33" s="35">
        <f>EXP(5.7226-(0.68367*LN(+U33)))</f>
        <v>5.7348044063168508</v>
      </c>
      <c r="W33" s="32">
        <f>(+V33*U33)/100</f>
        <v>19.242522923486177</v>
      </c>
      <c r="X33" s="31">
        <f>100*((((W33/100)-((W33/100)-0.03574)*$E$25)-0.03574-0.00619)/0.344)</f>
        <v>34.183526481261865</v>
      </c>
      <c r="Y33">
        <v>0</v>
      </c>
      <c r="Z33" s="31">
        <f>X33+Y33</f>
        <v>34.183526481261865</v>
      </c>
      <c r="AA33" s="31">
        <f>100*($E$21*$E$23+($E$22*(Z33/100))/(1-$E$25))</f>
        <v>28.062172011084961</v>
      </c>
      <c r="AB33" s="32">
        <f>AA33/U33</f>
        <v>8.3633039357624672E-2</v>
      </c>
      <c r="AC33" s="30">
        <f>$E$12/(1-AB33)</f>
        <v>485059.14394339174</v>
      </c>
      <c r="AD33" t="str">
        <f>IF(OR(OR(AC33=AC27,AC33=(AC27+1)),AC33=(AC19-1)),"yes","not yet")</f>
        <v>not yet</v>
      </c>
      <c r="AE33" s="31">
        <f>100*(1-AB33)</f>
        <v>91.636696064237526</v>
      </c>
      <c r="AH33">
        <v>1</v>
      </c>
      <c r="AI33" s="31">
        <f>U9</f>
        <v>384.34586924727904</v>
      </c>
      <c r="AJ33" s="31">
        <f>U15</f>
        <v>333.07189781896119</v>
      </c>
      <c r="AK33" s="31">
        <f>U21</f>
        <v>335.67970008951875</v>
      </c>
      <c r="AL33" s="31">
        <f>U27</f>
        <v>335.5308646674543</v>
      </c>
      <c r="AM33" s="31">
        <f>U33</f>
        <v>335.5393063151493</v>
      </c>
      <c r="AN33" s="31">
        <f>T45</f>
        <v>0</v>
      </c>
      <c r="AO33" s="31">
        <f>T51</f>
        <v>0</v>
      </c>
      <c r="AP33" s="31">
        <f>T57</f>
        <v>0</v>
      </c>
    </row>
    <row r="34" spans="5:42">
      <c r="E34" s="30"/>
      <c r="U34" s="31">
        <f>100*(+AC28/$E$13)</f>
        <v>335.04637285599563</v>
      </c>
      <c r="V34" s="35">
        <f>EXP(5.70827-(0.68367*LN(+U34)))</f>
        <v>5.658895590687183</v>
      </c>
      <c r="W34" s="32">
        <f>(+V34*U34)/100</f>
        <v>18.959924420305278</v>
      </c>
      <c r="X34" s="31">
        <f>100*((((W34/100)-((W34/100)-0.03574)*$E$25)-0.03574-0.00619)/0.344)</f>
        <v>33.534535732677824</v>
      </c>
      <c r="Y34">
        <v>0</v>
      </c>
      <c r="Z34" s="31">
        <f>X34+Y34</f>
        <v>33.534535732677824</v>
      </c>
      <c r="AA34" s="31">
        <f>100*($E$21*$E$23+($E$22*(Z34/100))/(1-$E$25))</f>
        <v>27.569267645071765</v>
      </c>
      <c r="AB34" s="32">
        <f>AA34/U34</f>
        <v>8.2284930918864643E-2</v>
      </c>
      <c r="AC34" s="30">
        <f>$E$12/(1-AB34)</f>
        <v>484346.59998799773</v>
      </c>
      <c r="AD34" t="str">
        <f>IF(OR(OR(AC34=AC28,AC34=(AC28+1)),AC34=(AC28-1)),"yes","not yet")</f>
        <v>not yet</v>
      </c>
      <c r="AE34" s="31">
        <f>100*(1-AB34)</f>
        <v>91.771506908113537</v>
      </c>
      <c r="AH34">
        <v>2</v>
      </c>
      <c r="AI34" s="31">
        <f>U10</f>
        <v>384.34586924727904</v>
      </c>
      <c r="AJ34" s="31">
        <f>U16</f>
        <v>332.60461306372321</v>
      </c>
      <c r="AK34" s="31">
        <f>U22</f>
        <v>335.18263203477363</v>
      </c>
      <c r="AL34" s="31">
        <f>U28</f>
        <v>335.03834731332802</v>
      </c>
      <c r="AM34" s="31">
        <f>U34</f>
        <v>335.04637285599563</v>
      </c>
      <c r="AN34" s="31">
        <f>T46</f>
        <v>0</v>
      </c>
      <c r="AO34" s="31">
        <f>T52</f>
        <v>0</v>
      </c>
      <c r="AP34" s="31">
        <f>T58</f>
        <v>0</v>
      </c>
    </row>
    <row r="35" spans="5:42">
      <c r="E35" s="30"/>
      <c r="U35" s="31">
        <f>100*(+AC29/$E$13)</f>
        <v>334.71457457494245</v>
      </c>
      <c r="V35" s="35">
        <f>EXP(5.6985-(0.68367*LN(U35)))</f>
        <v>5.6076746095934284</v>
      </c>
      <c r="W35" s="32">
        <f>(+V35*U35)/100</f>
        <v>18.76970421304771</v>
      </c>
      <c r="X35" s="31">
        <f>100*((((W35/100)-((W35/100)-0.03574)*$E$25)-0.03574-0.00619)/0.344)</f>
        <v>33.097692814847946</v>
      </c>
      <c r="Y35">
        <v>0</v>
      </c>
      <c r="Z35" s="31">
        <f>X35+Y35</f>
        <v>33.097692814847946</v>
      </c>
      <c r="AA35" s="31">
        <f>100*($E$21*$E$23+($E$22*(Z35/100))/(1-$E$25))</f>
        <v>27.237488213808568</v>
      </c>
      <c r="AB35" s="32">
        <f>AA35/U35</f>
        <v>8.1375268012747096E-2</v>
      </c>
      <c r="AC35" s="30">
        <f>$E$12/(1-AB35)</f>
        <v>483866.97852738219</v>
      </c>
      <c r="AD35" t="str">
        <f>IF(OR(OR(AC35=AC29,AC35=(AC29+1)),AC35=(AC29-1)),"yes","not yet")</f>
        <v>not yet</v>
      </c>
      <c r="AE35" s="31">
        <f>100*(1-AB35)</f>
        <v>91.862473198725297</v>
      </c>
      <c r="AH35">
        <v>3</v>
      </c>
      <c r="AI35" s="31">
        <f>U11</f>
        <v>384.34586924727904</v>
      </c>
      <c r="AJ35" s="31">
        <f>U17</f>
        <v>332.29058042557722</v>
      </c>
      <c r="AK35" s="31">
        <f>U23</f>
        <v>334.84805417485836</v>
      </c>
      <c r="AL35" s="31">
        <f>U29</f>
        <v>334.70682297992613</v>
      </c>
      <c r="AM35" s="31">
        <f>U35</f>
        <v>334.71457457494245</v>
      </c>
      <c r="AN35" s="31">
        <f>T47</f>
        <v>0</v>
      </c>
      <c r="AO35" s="31">
        <f>T53</f>
        <v>0</v>
      </c>
      <c r="AP35" s="31">
        <f>T59</f>
        <v>0</v>
      </c>
    </row>
    <row r="36" spans="5:42">
      <c r="E36" s="30"/>
      <c r="U36" s="31">
        <f>100*(+AC30/$E$13)</f>
        <v>334.50243905368791</v>
      </c>
      <c r="V36" s="35">
        <f>EXP(5.6922-(0.68367*LN(U36)))</f>
        <v>5.5748731263842508</v>
      </c>
      <c r="W36" s="32">
        <f>(+V36*U36)/100</f>
        <v>18.648086581903904</v>
      </c>
      <c r="X36" s="31">
        <f>100*((((W36/100)-((W36/100)-0.03574)*$E$25)-0.03574-0.00619)/0.344)</f>
        <v>32.818396510767684</v>
      </c>
      <c r="Y36">
        <v>0</v>
      </c>
      <c r="Z36" s="31">
        <f>X36+Y36</f>
        <v>32.818396510767684</v>
      </c>
      <c r="AA36" s="31">
        <f>100*($E$21*$E$23+($E$22*(Z36/100))/(1-$E$25))</f>
        <v>27.02536443855773</v>
      </c>
      <c r="AB36" s="32">
        <f>AA36/U36</f>
        <v>8.0792727595687688E-2</v>
      </c>
      <c r="AC36" s="30">
        <f>$E$12/(1-AB36)</f>
        <v>483560.33161548892</v>
      </c>
      <c r="AD36" t="str">
        <f>IF(OR(OR(AC36=AC30,AC36=(AC30+1)),AC36=(AC30-1)),"yes","not yet")</f>
        <v>not yet</v>
      </c>
      <c r="AE36" s="31">
        <f>100*(1-AB36)</f>
        <v>91.920727240431233</v>
      </c>
      <c r="AH36">
        <v>4</v>
      </c>
      <c r="AI36" s="31">
        <f>U12</f>
        <v>384.34586924727904</v>
      </c>
      <c r="AJ36" s="31">
        <f>U18</f>
        <v>332.09001422082463</v>
      </c>
      <c r="AK36" s="31">
        <f>U24</f>
        <v>334.63414351421363</v>
      </c>
      <c r="AL36" s="31">
        <f>U30</f>
        <v>334.49485999906381</v>
      </c>
      <c r="AM36" s="31">
        <f>U36</f>
        <v>334.50243905368791</v>
      </c>
      <c r="AN36" s="31">
        <f>T48</f>
        <v>0</v>
      </c>
      <c r="AO36" s="31">
        <f>T54</f>
        <v>0</v>
      </c>
      <c r="AP36" s="31">
        <f>T60</f>
        <v>0</v>
      </c>
    </row>
    <row r="37" spans="5:42">
      <c r="E37" s="30"/>
      <c r="Z37" s="31"/>
    </row>
    <row r="38" spans="5:42">
      <c r="U38" s="16" t="s">
        <v>185</v>
      </c>
      <c r="V38" s="2" t="s">
        <v>133</v>
      </c>
      <c r="W38" s="2" t="s">
        <v>134</v>
      </c>
      <c r="X38" s="2" t="s">
        <v>135</v>
      </c>
      <c r="Z38" s="31"/>
      <c r="AI38" s="16" t="s">
        <v>183</v>
      </c>
    </row>
    <row r="39" spans="5:42">
      <c r="U39" s="31">
        <f>100*(+AC33/$E$13)</f>
        <v>335.53882735174278</v>
      </c>
      <c r="V39" s="35">
        <f>EXP(5.7226-(0.68367*LN(+U39)))</f>
        <v>5.7348100029209572</v>
      </c>
      <c r="W39" s="32">
        <f>(+V39*U39)/100</f>
        <v>19.242514234651427</v>
      </c>
      <c r="X39" s="31">
        <f>100*((((W39/100)-((W39/100)-0.03574)*$E$25)-0.03574-0.00619)/0.344)</f>
        <v>34.183506527251836</v>
      </c>
      <c r="Y39">
        <v>0</v>
      </c>
      <c r="Z39" s="31">
        <f>X39+Y39</f>
        <v>34.183506527251836</v>
      </c>
      <c r="AA39" s="31">
        <f>100*($E$21*$E$23+($E$22*(Z39/100))/(1-$E$25))</f>
        <v>28.062156856140636</v>
      </c>
      <c r="AB39" s="32">
        <f>AA39/U39</f>
        <v>8.3633113573241685E-2</v>
      </c>
      <c r="AC39" s="30">
        <f>ROUND($E$12/(1-AB39),0)</f>
        <v>485059</v>
      </c>
      <c r="AD39" t="str">
        <f>IF(OR(OR(AC39=AC33,AC39=(AC33+1)),AC39=(AC25-1)),"yes","not yet")</f>
        <v>not yet</v>
      </c>
      <c r="AE39" s="31">
        <f>100*(1-AB39)</f>
        <v>91.636688642675836</v>
      </c>
      <c r="AI39" s="31">
        <f>HLOOKUP($AI$38,$AI$32:$AQ$36,$E$16+1)</f>
        <v>334.71457457494245</v>
      </c>
    </row>
    <row r="40" spans="5:42">
      <c r="U40" s="31">
        <f>100*(+AC34/$E$13)</f>
        <v>335.04592629789238</v>
      </c>
      <c r="V40" s="35">
        <f>EXP(5.70827-(0.68367*LN(+U40)))</f>
        <v>5.6589007471482766</v>
      </c>
      <c r="W40" s="32">
        <f>(+V40*U40)/100</f>
        <v>18.959916426561296</v>
      </c>
      <c r="X40" s="31">
        <f>100*((((W40/100)-((W40/100)-0.03574)*$E$25)-0.03574-0.00619)/0.344)</f>
        <v>33.534517374951818</v>
      </c>
      <c r="Y40">
        <v>0</v>
      </c>
      <c r="Z40" s="31">
        <f>X40+Y40</f>
        <v>33.534517374951818</v>
      </c>
      <c r="AA40" s="31">
        <f>100*($E$21*$E$23+($E$22*(Z40/100))/(1-$E$25))</f>
        <v>27.56925370249505</v>
      </c>
      <c r="AB40" s="32">
        <f>AA40/U40</f>
        <v>8.2284998976477564E-2</v>
      </c>
      <c r="AC40" s="30">
        <f>ROUND($E$12/(1-AB40),0)</f>
        <v>484347</v>
      </c>
      <c r="AD40" t="str">
        <f>IF(OR(OR(AC40=AC34,AC40=(AC34+1)),AC40=(AC34-1)),"yes","not yet")</f>
        <v>not yet</v>
      </c>
      <c r="AE40" s="31">
        <f>100*(1-AB40)</f>
        <v>91.771500102352249</v>
      </c>
    </row>
    <row r="41" spans="5:42">
      <c r="U41" s="31">
        <f>100*(+AC35/$E$13)</f>
        <v>334.71414897861672</v>
      </c>
      <c r="V41" s="35">
        <f>EXP(5.6985-(0.68367*LN(U41)))</f>
        <v>5.6076794843511948</v>
      </c>
      <c r="W41" s="32">
        <f>(+V41*U41)/100</f>
        <v>18.769696663494582</v>
      </c>
      <c r="X41" s="31">
        <f>100*((((W41/100)-((W41/100)-0.03574)*$E$25)-0.03574-0.00619)/0.344)</f>
        <v>33.097675477211396</v>
      </c>
      <c r="Y41">
        <v>0</v>
      </c>
      <c r="Z41" s="31">
        <f>X41+Y41</f>
        <v>33.097675477211396</v>
      </c>
      <c r="AA41" s="31">
        <f>100*($E$21*$E$23+($E$22*(Z41/100))/(1-$E$25))</f>
        <v>27.237475045983338</v>
      </c>
      <c r="AB41" s="32">
        <f>AA41/U41</f>
        <v>8.1375332142661849E-2</v>
      </c>
      <c r="AC41" s="30">
        <f>ROUND($E$12/(1-AB41),0)</f>
        <v>483867</v>
      </c>
      <c r="AD41" t="str">
        <f>IF(OR(OR(AC41=AC35,AC41=(AC35+1)),AC41=(AC35-1)),"yes","not yet")</f>
        <v>not yet</v>
      </c>
      <c r="AE41" s="31">
        <f>100*(1-AB41)</f>
        <v>91.862466785733815</v>
      </c>
      <c r="AI41" t="str">
        <f>HLOOKUP(1,$AI$17:$AQ$21,$E$16+1)</f>
        <v>not yet</v>
      </c>
      <c r="AJ41" t="str">
        <f>HLOOKUP(2,$AI$17:$AQ$21,$E$16+1)</f>
        <v>not yet</v>
      </c>
      <c r="AK41" t="str">
        <f>HLOOKUP(3,$AI$17:$AQ$21,$E$16+1)</f>
        <v>not yet</v>
      </c>
      <c r="AL41" t="str">
        <f>HLOOKUP(4,$AI$17:$AQ$21,$E$16+1)</f>
        <v>not yet</v>
      </c>
      <c r="AM41" t="str">
        <f>HLOOKUP(5,$AI$17:$AQ$21,$E$16+1)</f>
        <v>not yet</v>
      </c>
      <c r="AN41">
        <f>HLOOKUP(7,$AI$17:$AQ$21,$E$16+1)</f>
        <v>483867</v>
      </c>
      <c r="AO41">
        <f>HLOOKUP(8,$AI$17:$AQ$21,$E$16+1)</f>
        <v>483867</v>
      </c>
      <c r="AP41">
        <f>HLOOKUP(9,$AI$17:$AQ$21,$E$16+1)</f>
        <v>483867</v>
      </c>
    </row>
    <row r="42" spans="5:42">
      <c r="U42" s="31">
        <f>100*(+AC36/$E$13)</f>
        <v>334.50202650548653</v>
      </c>
      <c r="V42" s="35">
        <f>EXP(5.6922-(0.68367*LN(U42)))</f>
        <v>5.5748778270283568</v>
      </c>
      <c r="W42" s="32">
        <f>(+V42*U42)/100</f>
        <v>18.648079306614886</v>
      </c>
      <c r="X42" s="31">
        <f>100*((((W42/100)-((W42/100)-0.03574)*$E$25)-0.03574-0.00619)/0.344)</f>
        <v>32.818379802981859</v>
      </c>
      <c r="Y42">
        <v>0</v>
      </c>
      <c r="Z42" s="31">
        <f>X42+Y42</f>
        <v>32.818379802981859</v>
      </c>
      <c r="AA42" s="31">
        <f>100*($E$21*$E$23+($E$22*(Z42/100))/(1-$E$25))</f>
        <v>27.025351749100146</v>
      </c>
      <c r="AB42" s="32">
        <f>AA42/U42</f>
        <v>8.0792789303645293E-2</v>
      </c>
      <c r="AC42" s="30">
        <f>ROUND($E$12/(1-AB42),0)</f>
        <v>483560</v>
      </c>
      <c r="AD42" t="str">
        <f>IF(OR(OR(AC42=AC36,AC42=(AC36+1)),AC42=(AC36-1)),"yes","not yet")</f>
        <v>not yet</v>
      </c>
      <c r="AE42" s="31">
        <f>100*(1-AB42)</f>
        <v>91.920721069635476</v>
      </c>
      <c r="AH42">
        <v>1</v>
      </c>
      <c r="AI42" s="30">
        <f>AC9</f>
        <v>481492.9196206092</v>
      </c>
      <c r="AJ42" s="30">
        <f>AC15</f>
        <v>485262.79134279973</v>
      </c>
      <c r="AK42" s="30">
        <f>AC21</f>
        <v>485047.632986955</v>
      </c>
      <c r="AL42" s="30">
        <f>AC27</f>
        <v>485059.83633890905</v>
      </c>
      <c r="AM42" s="30">
        <f>AC33</f>
        <v>485059.14394339174</v>
      </c>
      <c r="AN42" s="30">
        <f>AB45</f>
        <v>8.363312900208536E-2</v>
      </c>
      <c r="AO42" s="30">
        <f>AB51</f>
        <v>8.363312900208536E-2</v>
      </c>
      <c r="AP42" s="30">
        <f>AB57</f>
        <v>8.363312900208536E-2</v>
      </c>
    </row>
    <row r="43" spans="5:42">
      <c r="Z43" s="31"/>
      <c r="AH43">
        <v>2</v>
      </c>
      <c r="AI43" s="30">
        <f>AC10</f>
        <v>480817.40690828772</v>
      </c>
      <c r="AJ43" s="30">
        <f>AC16</f>
        <v>484544.22351856536</v>
      </c>
      <c r="AK43" s="30">
        <f>AC22</f>
        <v>484335.64371270244</v>
      </c>
      <c r="AL43" s="30">
        <f>AC28</f>
        <v>484347.24553800159</v>
      </c>
      <c r="AM43" s="30">
        <f>AC34</f>
        <v>484346.59998799773</v>
      </c>
      <c r="AN43" s="30">
        <f>AB46</f>
        <v>8.2284956804883153E-2</v>
      </c>
      <c r="AO43" s="30">
        <f>AB52</f>
        <v>8.2284956804883153E-2</v>
      </c>
      <c r="AP43" s="30">
        <f>AB58</f>
        <v>8.2284956804883153E-2</v>
      </c>
    </row>
    <row r="44" spans="5:42">
      <c r="U44" s="16" t="s">
        <v>186</v>
      </c>
      <c r="V44" s="2" t="s">
        <v>133</v>
      </c>
      <c r="W44" s="2" t="s">
        <v>134</v>
      </c>
      <c r="X44" s="2" t="s">
        <v>135</v>
      </c>
      <c r="Z44" s="31"/>
      <c r="AH44">
        <v>3</v>
      </c>
      <c r="AI44" s="30">
        <f>AC11</f>
        <v>480363.4373816264</v>
      </c>
      <c r="AJ44" s="30">
        <f>AC17</f>
        <v>484060.55356122006</v>
      </c>
      <c r="AK44" s="30">
        <f>AC23</f>
        <v>483856.387971644</v>
      </c>
      <c r="AL44" s="30">
        <f>AC29</f>
        <v>483867.59377477702</v>
      </c>
      <c r="AM44" s="30">
        <f>AC35</f>
        <v>483866.97852738219</v>
      </c>
      <c r="AN44" s="30">
        <f>AB47</f>
        <v>8.1375329904475283E-2</v>
      </c>
      <c r="AO44" s="30">
        <f>AB53</f>
        <v>8.1375329904475283E-2</v>
      </c>
      <c r="AP44" s="30">
        <f>AB59</f>
        <v>8.1375329904475283E-2</v>
      </c>
    </row>
    <row r="45" spans="5:42">
      <c r="U45" s="31">
        <f>100*(+AC39/$E$13)</f>
        <v>335.5387277791495</v>
      </c>
      <c r="V45" s="35">
        <f>EXP(5.7226-(0.68367*LN(+U45)))</f>
        <v>5.7348111664110819</v>
      </c>
      <c r="W45" s="32">
        <f>(+V45*U45)/100</f>
        <v>19.242512428312349</v>
      </c>
      <c r="X45" s="31">
        <f>100*((((W45/100)-((W45/100)-0.03574)*$E$25)-0.03574-0.00619)/0.344)</f>
        <v>34.183502378973131</v>
      </c>
      <c r="Y45">
        <v>0</v>
      </c>
      <c r="Z45" s="31">
        <f>X45+Y45</f>
        <v>34.183502378973131</v>
      </c>
      <c r="AA45" s="31">
        <f>100*($E$21*$E$23+($E$22*(Z45/100))/(1-$E$25))</f>
        <v>28.062153705549214</v>
      </c>
      <c r="AB45" s="32">
        <f>AA45/U45</f>
        <v>8.363312900208536E-2</v>
      </c>
      <c r="AC45" s="30">
        <f>ROUND($E$12/(1-AB45),0)</f>
        <v>485059</v>
      </c>
      <c r="AD45" t="str">
        <f>IF(OR(OR(AC45=AC39,AC45=(AC39+1)),AC45=(AC31-1)),"yes","not yet")</f>
        <v>yes</v>
      </c>
      <c r="AE45" s="31">
        <f>100*(1-AB45)</f>
        <v>91.636687099791473</v>
      </c>
      <c r="AH45">
        <v>4</v>
      </c>
      <c r="AI45" s="30">
        <f>AC12</f>
        <v>480073.49635647266</v>
      </c>
      <c r="AJ45" s="30">
        <f>AC18</f>
        <v>483751.32162299217</v>
      </c>
      <c r="AK45" s="30">
        <f>AC24</f>
        <v>483549.97162377677</v>
      </c>
      <c r="AL45" s="30">
        <f>AC30</f>
        <v>483560.92800035141</v>
      </c>
      <c r="AM45" s="30">
        <f>AC36</f>
        <v>483560.33161548892</v>
      </c>
      <c r="AN45" s="30">
        <f>AB48</f>
        <v>8.0792823615960838E-2</v>
      </c>
      <c r="AO45" s="30">
        <f>AB54</f>
        <v>8.0792823615960838E-2</v>
      </c>
      <c r="AP45" s="30">
        <f>AB60</f>
        <v>8.0792823615960838E-2</v>
      </c>
    </row>
    <row r="46" spans="5:42">
      <c r="U46" s="31">
        <f>100*(+AC40/$E$13)</f>
        <v>335.04620300550596</v>
      </c>
      <c r="V46" s="35">
        <f>EXP(5.70827-(0.68367*LN(+U46)))</f>
        <v>5.6588975519702212</v>
      </c>
      <c r="W46" s="32">
        <f>(+V46*U46)/100</f>
        <v>18.959921379847753</v>
      </c>
      <c r="X46" s="31">
        <f>100*((((W46/100)-((W46/100)-0.03574)*$E$25)-0.03574-0.00619)/0.344)</f>
        <v>33.534528750231757</v>
      </c>
      <c r="Y46">
        <v>0</v>
      </c>
      <c r="Z46" s="31">
        <f>X46+Y46</f>
        <v>33.534528750231757</v>
      </c>
      <c r="AA46" s="31">
        <f>100*($E$21*$E$23+($E$22*(Z46/100))/(1-$E$25))</f>
        <v>27.569262341948171</v>
      </c>
      <c r="AB46" s="32">
        <f>AA46/U46</f>
        <v>8.2284956804883153E-2</v>
      </c>
      <c r="AC46" s="30">
        <f>ROUND($E$12/(1-AB46),0)</f>
        <v>484347</v>
      </c>
      <c r="AD46" t="str">
        <f>IF(OR(OR(AC46=AC40,AC46=(AC40+1)),AC46=(AC40-1)),"yes","not yet")</f>
        <v>yes</v>
      </c>
      <c r="AE46" s="31">
        <f>100*(1-AB46)</f>
        <v>91.771504319511692</v>
      </c>
    </row>
    <row r="47" spans="5:42">
      <c r="U47" s="31">
        <f>100*(+AC41/$E$13)</f>
        <v>334.71416383226313</v>
      </c>
      <c r="V47" s="35">
        <f>EXP(5.6985-(0.68367*LN(U47)))</f>
        <v>5.6076793142181423</v>
      </c>
      <c r="W47" s="32">
        <f>(+V47*U47)/100</f>
        <v>18.769696926980043</v>
      </c>
      <c r="X47" s="31">
        <f>100*((((W47/100)-((W47/100)-0.03574)*$E$25)-0.03574-0.00619)/0.344)</f>
        <v>33.097676082308816</v>
      </c>
      <c r="Y47">
        <v>0</v>
      </c>
      <c r="Z47" s="31">
        <f>X47+Y47</f>
        <v>33.097676082308816</v>
      </c>
      <c r="AA47" s="31">
        <f>100*($E$21*$E$23+($E$22*(Z47/100))/(1-$E$25))</f>
        <v>27.237475505551</v>
      </c>
      <c r="AB47" s="32">
        <f>AA47/U47</f>
        <v>8.1375329904475283E-2</v>
      </c>
      <c r="AC47" s="30">
        <f>ROUND($E$12/(1-AB47),0)</f>
        <v>483867</v>
      </c>
      <c r="AD47" t="str">
        <f>IF(OR(OR(AC47=AC41,AC47=(AC41+1)),AC47=(AC41-1)),"yes","not yet")</f>
        <v>yes</v>
      </c>
      <c r="AE47" s="31">
        <f>100*(1-AB47)</f>
        <v>91.862467009552475</v>
      </c>
      <c r="AI47" s="16" t="s">
        <v>183</v>
      </c>
    </row>
    <row r="48" spans="5:42">
      <c r="U48" s="31">
        <f>100*(+AC42/$E$13)</f>
        <v>334.50179711104323</v>
      </c>
      <c r="V48" s="35">
        <f>EXP(5.6922-(0.68367*LN(U48)))</f>
        <v>5.5748804407917376</v>
      </c>
      <c r="W48" s="32">
        <f>(+V48*U48)/100</f>
        <v>18.648075261240411</v>
      </c>
      <c r="X48" s="31">
        <f>100*((((W48/100)-((W48/100)-0.03574)*$E$25)-0.03574-0.00619)/0.344)</f>
        <v>32.818370512732336</v>
      </c>
      <c r="Y48">
        <v>0</v>
      </c>
      <c r="Z48" s="31">
        <f>X48+Y48</f>
        <v>32.818370512732336</v>
      </c>
      <c r="AA48" s="31">
        <f>100*($E$21*$E$23+($E$22*(Z48/100))/(1-$E$25))</f>
        <v>27.025344693214432</v>
      </c>
      <c r="AB48" s="32">
        <f>AA48/U48</f>
        <v>8.0792823615960838E-2</v>
      </c>
      <c r="AC48" s="30">
        <f>ROUND($E$12/(1-AB48),0)</f>
        <v>483560</v>
      </c>
      <c r="AD48" t="str">
        <f>IF(OR(OR(AC48=AC42,AC48=(AC42+1)),AC48=(AC42-1)),"yes","not yet")</f>
        <v>yes</v>
      </c>
      <c r="AE48" s="31">
        <f>100*(1-AB48)</f>
        <v>91.920717638403914</v>
      </c>
      <c r="AI48" s="30">
        <f>HLOOKUP($AI$38,$AI$41:$AQ$45,$E$16+1)</f>
        <v>483866.97852738219</v>
      </c>
    </row>
    <row r="49" spans="4:31">
      <c r="Z49" s="31"/>
    </row>
    <row r="50" spans="4:31">
      <c r="D50" s="30"/>
      <c r="E50" s="30"/>
      <c r="F50" s="30"/>
      <c r="U50" s="16" t="s">
        <v>187</v>
      </c>
      <c r="V50" s="2" t="s">
        <v>133</v>
      </c>
      <c r="W50" s="2" t="s">
        <v>134</v>
      </c>
      <c r="X50" s="2" t="s">
        <v>135</v>
      </c>
      <c r="Z50" s="31"/>
    </row>
    <row r="51" spans="4:31">
      <c r="D51" s="30"/>
      <c r="E51" s="30"/>
      <c r="F51" s="30"/>
      <c r="U51" s="31">
        <f>100*(+AC45/$E$13)</f>
        <v>335.5387277791495</v>
      </c>
      <c r="V51" s="35">
        <f>EXP(5.7226-(0.68367*LN(+U51)))</f>
        <v>5.7348111664110819</v>
      </c>
      <c r="W51" s="32">
        <f>(+V51*U51)/100</f>
        <v>19.242512428312349</v>
      </c>
      <c r="X51" s="31">
        <f>100*((((W51/100)-((W51/100)-0.03574)*$E$25)-0.03574-0.00619)/0.344)</f>
        <v>34.183502378973131</v>
      </c>
      <c r="Y51">
        <v>0</v>
      </c>
      <c r="Z51" s="31">
        <f>X51+Y51</f>
        <v>34.183502378973131</v>
      </c>
      <c r="AA51" s="31">
        <f>100*($E$21*$E$23+($E$22*(Z51/100))/(1-$E$25))</f>
        <v>28.062153705549214</v>
      </c>
      <c r="AB51" s="32">
        <f>AA51/U51</f>
        <v>8.363312900208536E-2</v>
      </c>
      <c r="AC51" s="30">
        <f>ROUND($E$12/(1-AB51),0)</f>
        <v>485059</v>
      </c>
      <c r="AD51" t="str">
        <f>IF(OR(OR(AC51=AC45,AC51=(AC45+1)),AC51=(AC37-1)),"yes","not yet")</f>
        <v>yes</v>
      </c>
      <c r="AE51" s="31">
        <f>100*(1-AB51)</f>
        <v>91.636687099791473</v>
      </c>
    </row>
    <row r="52" spans="4:31">
      <c r="U52" s="31">
        <f>100*(+AC46/$E$13)</f>
        <v>335.04620300550596</v>
      </c>
      <c r="V52" s="35">
        <f>EXP(5.70827-(0.68367*LN(+U52)))</f>
        <v>5.6588975519702212</v>
      </c>
      <c r="W52" s="32">
        <f>(+V52*U52)/100</f>
        <v>18.959921379847753</v>
      </c>
      <c r="X52" s="31">
        <f>100*((((W52/100)-((W52/100)-0.03574)*$E$25)-0.03574-0.00619)/0.344)</f>
        <v>33.534528750231757</v>
      </c>
      <c r="Y52">
        <v>0</v>
      </c>
      <c r="Z52" s="31">
        <f>X52+Y52</f>
        <v>33.534528750231757</v>
      </c>
      <c r="AA52" s="31">
        <f>100*($E$21*$E$23+($E$22*(Z52/100))/(1-$E$25))</f>
        <v>27.569262341948171</v>
      </c>
      <c r="AB52" s="32">
        <f>AA52/U52</f>
        <v>8.2284956804883153E-2</v>
      </c>
      <c r="AC52" s="30">
        <f>ROUND($E$12/(1-AB52),0)</f>
        <v>484347</v>
      </c>
      <c r="AD52" t="str">
        <f>IF(OR(OR(AC52=AC46,AC52=(AC46+1)),AC52=(AC46-1)),"yes","not yet")</f>
        <v>yes</v>
      </c>
      <c r="AE52" s="31">
        <f>100*(1-AB52)</f>
        <v>91.771504319511692</v>
      </c>
    </row>
    <row r="53" spans="4:31">
      <c r="U53" s="31">
        <f>100*(+AC47/$E$13)</f>
        <v>334.71416383226313</v>
      </c>
      <c r="V53" s="35">
        <f>EXP(5.6985-(0.68367*LN(U53)))</f>
        <v>5.6076793142181423</v>
      </c>
      <c r="W53" s="32">
        <f>(+V53*U53)/100</f>
        <v>18.769696926980043</v>
      </c>
      <c r="X53" s="31">
        <f>100*((((W53/100)-((W53/100)-0.03574)*$E$25)-0.03574-0.00619)/0.344)</f>
        <v>33.097676082308816</v>
      </c>
      <c r="Y53">
        <v>0</v>
      </c>
      <c r="Z53" s="31">
        <f>X53+Y53</f>
        <v>33.097676082308816</v>
      </c>
      <c r="AA53" s="31">
        <f>100*($E$21*$E$23+($E$22*(Z53/100))/(1-$E$25))</f>
        <v>27.237475505551</v>
      </c>
      <c r="AB53" s="32">
        <f>AA53/U53</f>
        <v>8.1375329904475283E-2</v>
      </c>
      <c r="AC53" s="30">
        <f>ROUND($E$12/(1-AB53),0)</f>
        <v>483867</v>
      </c>
      <c r="AD53" t="str">
        <f>IF(OR(OR(AC53=AC47,AC53=(AC47+1)),AC53=(AC47-1)),"yes","not yet")</f>
        <v>yes</v>
      </c>
      <c r="AE53" s="31">
        <f>100*(1-AB53)</f>
        <v>91.862467009552475</v>
      </c>
    </row>
    <row r="54" spans="4:31">
      <c r="U54" s="31">
        <f>100*(+AC48/$E$13)</f>
        <v>334.50179711104323</v>
      </c>
      <c r="V54" s="35">
        <f>EXP(5.6922-(0.68367*LN(U54)))</f>
        <v>5.5748804407917376</v>
      </c>
      <c r="W54" s="32">
        <f>(+V54*U54)/100</f>
        <v>18.648075261240411</v>
      </c>
      <c r="X54" s="31">
        <f>100*((((W54/100)-((W54/100)-0.03574)*$E$25)-0.03574-0.00619)/0.344)</f>
        <v>32.818370512732336</v>
      </c>
      <c r="Y54">
        <v>0</v>
      </c>
      <c r="Z54" s="31">
        <f>X54+Y54</f>
        <v>32.818370512732336</v>
      </c>
      <c r="AA54" s="31">
        <f>100*($E$21*$E$23+($E$22*(Z54/100))/(1-$E$25))</f>
        <v>27.025344693214432</v>
      </c>
      <c r="AB54" s="32">
        <f>AA54/U54</f>
        <v>8.0792823615960838E-2</v>
      </c>
      <c r="AC54" s="30">
        <f>ROUND($E$12/(1-AB54),0)</f>
        <v>483560</v>
      </c>
      <c r="AD54" t="str">
        <f>IF(OR(OR(AC54=AC48,AC54=(AC48+1)),AC54=(AC48-1)),"yes","not yet")</f>
        <v>yes</v>
      </c>
      <c r="AE54" s="31">
        <f>100*(1-AB54)</f>
        <v>91.920717638403914</v>
      </c>
    </row>
    <row r="55" spans="4:31">
      <c r="Z55" s="31"/>
    </row>
    <row r="56" spans="4:31">
      <c r="U56" s="16" t="s">
        <v>188</v>
      </c>
      <c r="V56" s="2" t="s">
        <v>133</v>
      </c>
      <c r="W56" s="2" t="s">
        <v>134</v>
      </c>
      <c r="X56" s="2" t="s">
        <v>135</v>
      </c>
      <c r="Z56" s="31"/>
    </row>
    <row r="57" spans="4:31">
      <c r="U57" s="31">
        <f>100*(+AC51/$E$13)</f>
        <v>335.5387277791495</v>
      </c>
      <c r="V57" s="35">
        <f>EXP(5.7226-(0.68367*LN(+U57)))</f>
        <v>5.7348111664110819</v>
      </c>
      <c r="W57" s="32">
        <f>(+V57*U57)/100</f>
        <v>19.242512428312349</v>
      </c>
      <c r="X57" s="31">
        <f>100*((((W57/100)-((W57/100)-0.03574)*$E$25)-0.03574-0.00619)/0.344)</f>
        <v>34.183502378973131</v>
      </c>
      <c r="Y57">
        <v>0</v>
      </c>
      <c r="Z57" s="31">
        <f>X57+Y57</f>
        <v>34.183502378973131</v>
      </c>
      <c r="AA57" s="31">
        <f>100*($E$21*$E$23+($E$22*(Z57/100))/(1-$E$25))</f>
        <v>28.062153705549214</v>
      </c>
      <c r="AB57" s="32">
        <f>AA57/U57</f>
        <v>8.363312900208536E-2</v>
      </c>
      <c r="AC57" s="30">
        <f>ROUND($E$12/(1-AB57),0)</f>
        <v>485059</v>
      </c>
      <c r="AD57" t="str">
        <f>IF(OR(OR(AC57=AC51,AC57=(AC51+1)),AC57=(AC43-1)),"yes","not yet")</f>
        <v>yes</v>
      </c>
      <c r="AE57" s="31">
        <f>100*(1-AB57)</f>
        <v>91.636687099791473</v>
      </c>
    </row>
    <row r="58" spans="4:31">
      <c r="U58" s="31">
        <f>100*(+AC52/$E$13)</f>
        <v>335.04620300550596</v>
      </c>
      <c r="V58" s="35">
        <f>EXP(5.70827-(0.68367*LN(+U58)))</f>
        <v>5.6588975519702212</v>
      </c>
      <c r="W58" s="32">
        <f>(+V58*U58)/100</f>
        <v>18.959921379847753</v>
      </c>
      <c r="X58" s="31">
        <f>100*((((W58/100)-((W58/100)-0.03574)*$E$25)-0.03574-0.00619)/0.344)</f>
        <v>33.534528750231757</v>
      </c>
      <c r="Y58">
        <v>0</v>
      </c>
      <c r="Z58" s="31">
        <f>X58+Y58</f>
        <v>33.534528750231757</v>
      </c>
      <c r="AA58" s="31">
        <f>100*($E$21*$E$23+($E$22*(Z58/100))/(1-$E$25))</f>
        <v>27.569262341948171</v>
      </c>
      <c r="AB58" s="32">
        <f>AA58/U58</f>
        <v>8.2284956804883153E-2</v>
      </c>
      <c r="AC58" s="30">
        <f>ROUND($E$12/(1-AB58),0)</f>
        <v>484347</v>
      </c>
      <c r="AD58" t="str">
        <f>IF(OR(OR(AC58=AC52,AC58=(AC52+1)),AC58=(AC52-1)),"yes","not yet")</f>
        <v>yes</v>
      </c>
      <c r="AE58" s="31">
        <f>100*(1-AB58)</f>
        <v>91.771504319511692</v>
      </c>
    </row>
    <row r="59" spans="4:31">
      <c r="U59" s="31">
        <f>100*(+AC53/$E$13)</f>
        <v>334.71416383226313</v>
      </c>
      <c r="V59" s="35">
        <f>EXP(5.6985-(0.68367*LN(U59)))</f>
        <v>5.6076793142181423</v>
      </c>
      <c r="W59" s="32">
        <f>(+V59*U59)/100</f>
        <v>18.769696926980043</v>
      </c>
      <c r="X59" s="31">
        <f>100*((((W59/100)-((W59/100)-0.03574)*$E$25)-0.03574-0.00619)/0.344)</f>
        <v>33.097676082308816</v>
      </c>
      <c r="Y59">
        <v>0</v>
      </c>
      <c r="Z59" s="31">
        <f>X59+Y59</f>
        <v>33.097676082308816</v>
      </c>
      <c r="AA59" s="31">
        <f>100*($E$21*$E$23+($E$22*(Z59/100))/(1-$E$25))</f>
        <v>27.237475505551</v>
      </c>
      <c r="AB59" s="32">
        <f>AA59/U59</f>
        <v>8.1375329904475283E-2</v>
      </c>
      <c r="AC59" s="30">
        <f>ROUND($E$12/(1-AB59),0)</f>
        <v>483867</v>
      </c>
      <c r="AD59" t="str">
        <f>IF(OR(OR(AC59=AC53,AC59=(AC53+1)),AC59=(AC53-1)),"yes","not yet")</f>
        <v>yes</v>
      </c>
      <c r="AE59" s="31">
        <f>100*(1-AB59)</f>
        <v>91.862467009552475</v>
      </c>
    </row>
    <row r="60" spans="4:31">
      <c r="U60" s="31">
        <f>100*(+AC54/$E$13)</f>
        <v>334.50179711104323</v>
      </c>
      <c r="V60" s="35">
        <f>EXP(5.6922-(0.68367*LN(U60)))</f>
        <v>5.5748804407917376</v>
      </c>
      <c r="W60" s="32">
        <f>(+V60*U60)/100</f>
        <v>18.648075261240411</v>
      </c>
      <c r="X60" s="31">
        <f>100*((((W60/100)-((W60/100)-0.03574)*$E$25)-0.03574-0.00619)/0.344)</f>
        <v>32.818370512732336</v>
      </c>
      <c r="Y60">
        <v>0</v>
      </c>
      <c r="Z60" s="31">
        <f>X60+Y60</f>
        <v>32.818370512732336</v>
      </c>
      <c r="AA60" s="31">
        <f>100*($E$21*$E$23+($E$22*(Z60/100))/(1-$E$25))</f>
        <v>27.025344693214432</v>
      </c>
      <c r="AB60" s="32">
        <f>AA60/U60</f>
        <v>8.0792823615960838E-2</v>
      </c>
      <c r="AC60" s="30">
        <f>ROUND($E$12/(1-AB60),0)</f>
        <v>483560</v>
      </c>
      <c r="AD60" t="str">
        <f>IF(OR(OR(AC60=AC54,AC60=(AC54+1)),AC60=(AC54-1)),"yes","not yet")</f>
        <v>yes</v>
      </c>
      <c r="AE60" s="31">
        <f>100*(1-AB60)</f>
        <v>91.920717638403914</v>
      </c>
    </row>
    <row r="61" spans="4:31">
      <c r="Z61" s="31"/>
    </row>
    <row r="63" spans="4:31">
      <c r="U63" s="31"/>
      <c r="V63" s="35"/>
      <c r="W63" s="32"/>
      <c r="X63" s="31"/>
      <c r="AA63" s="31"/>
      <c r="AB63" s="32"/>
      <c r="AC63" s="30"/>
    </row>
    <row r="64" spans="4:31">
      <c r="U64" s="31"/>
      <c r="V64" s="35"/>
      <c r="W64" s="32"/>
      <c r="X64" s="31"/>
      <c r="AA64" s="31"/>
      <c r="AB64" s="32"/>
      <c r="AC64" s="30"/>
    </row>
    <row r="65" spans="20:29">
      <c r="U65" s="31"/>
      <c r="V65" s="35"/>
      <c r="W65" s="32"/>
      <c r="X65" s="31"/>
      <c r="AA65" s="31"/>
      <c r="AB65" s="32"/>
      <c r="AC65" s="30"/>
    </row>
    <row r="66" spans="20:29">
      <c r="U66" s="31"/>
      <c r="V66" s="35"/>
      <c r="W66" s="32"/>
      <c r="X66" s="31"/>
      <c r="AA66" s="31"/>
      <c r="AB66" s="32"/>
      <c r="AC66" s="30"/>
    </row>
    <row r="69" spans="20:29">
      <c r="U69" s="31"/>
      <c r="V69" s="35"/>
      <c r="W69" s="32"/>
      <c r="X69" s="31"/>
      <c r="AA69" s="31"/>
      <c r="AB69" s="32"/>
      <c r="AC69" s="30"/>
    </row>
    <row r="70" spans="20:29">
      <c r="U70" s="31"/>
      <c r="V70" s="35"/>
      <c r="W70" s="32"/>
      <c r="X70" s="31"/>
      <c r="AA70" s="31"/>
      <c r="AB70" s="32"/>
      <c r="AC70" s="30"/>
    </row>
    <row r="71" spans="20:29">
      <c r="T71" s="31"/>
      <c r="U71" s="35"/>
      <c r="V71" s="32"/>
      <c r="W71" s="31"/>
      <c r="Z71" s="31"/>
      <c r="AA71" s="32"/>
      <c r="AB71" s="30"/>
    </row>
    <row r="72" spans="20:29">
      <c r="T72" s="31"/>
      <c r="U72" s="35"/>
      <c r="V72" s="32"/>
      <c r="W72" s="31"/>
      <c r="Z72" s="31"/>
      <c r="AA72" s="32"/>
      <c r="AB72" s="30"/>
    </row>
    <row r="75" spans="20:29">
      <c r="T75" s="31"/>
      <c r="U75" s="35"/>
      <c r="V75" s="32"/>
      <c r="W75" s="31"/>
      <c r="Z75" s="31"/>
      <c r="AA75" s="32"/>
      <c r="AB75" s="30"/>
    </row>
    <row r="76" spans="20:29">
      <c r="T76" s="31"/>
      <c r="U76" s="35"/>
      <c r="V76" s="32"/>
      <c r="W76" s="31"/>
      <c r="Z76" s="31"/>
      <c r="AA76" s="32"/>
      <c r="AB76" s="30"/>
    </row>
    <row r="77" spans="20:29">
      <c r="T77" s="31"/>
      <c r="U77" s="35"/>
      <c r="V77" s="32"/>
      <c r="W77" s="31"/>
      <c r="Z77" s="31"/>
      <c r="AA77" s="32"/>
      <c r="AB77" s="30"/>
    </row>
    <row r="78" spans="20:29">
      <c r="T78" s="31"/>
      <c r="U78" s="35"/>
      <c r="V78" s="32"/>
      <c r="W78" s="31"/>
      <c r="Z78" s="31"/>
      <c r="AA78" s="32"/>
      <c r="AB78" s="30"/>
    </row>
    <row r="81" spans="20:28">
      <c r="T81" s="31"/>
      <c r="U81" s="35"/>
      <c r="V81" s="32"/>
      <c r="W81" s="31"/>
      <c r="Z81" s="31"/>
      <c r="AA81" s="32"/>
      <c r="AB81" s="30"/>
    </row>
    <row r="82" spans="20:28">
      <c r="T82" s="31"/>
      <c r="U82" s="35"/>
      <c r="V82" s="32"/>
      <c r="W82" s="31"/>
      <c r="Z82" s="31"/>
      <c r="AA82" s="32"/>
      <c r="AB82" s="30"/>
    </row>
    <row r="83" spans="20:28">
      <c r="T83" s="31"/>
      <c r="U83" s="35"/>
      <c r="V83" s="32"/>
      <c r="W83" s="31"/>
      <c r="Z83" s="31"/>
      <c r="AA83" s="32"/>
      <c r="AB83" s="30"/>
    </row>
    <row r="84" spans="20:28">
      <c r="T84" s="31"/>
      <c r="U84" s="35"/>
      <c r="V84" s="32"/>
      <c r="W84" s="31"/>
      <c r="Z84" s="31"/>
      <c r="AA84" s="32"/>
      <c r="AB84" s="30"/>
    </row>
    <row r="87" spans="20:28">
      <c r="T87" s="31"/>
      <c r="U87" s="35"/>
      <c r="V87" s="32"/>
      <c r="W87" s="31"/>
      <c r="Z87" s="31"/>
      <c r="AA87" s="32"/>
      <c r="AB87" s="30"/>
    </row>
    <row r="88" spans="20:28">
      <c r="T88" s="31"/>
      <c r="U88" s="35"/>
      <c r="V88" s="32"/>
      <c r="W88" s="31"/>
      <c r="Z88" s="31"/>
      <c r="AA88" s="32"/>
      <c r="AB88" s="30"/>
    </row>
    <row r="89" spans="20:28">
      <c r="T89" s="31"/>
      <c r="U89" s="35"/>
      <c r="V89" s="32"/>
      <c r="W89" s="31"/>
      <c r="Z89" s="31"/>
      <c r="AA89" s="32"/>
      <c r="AB89" s="30"/>
    </row>
    <row r="90" spans="20:28">
      <c r="T90" s="31"/>
      <c r="U90" s="35"/>
      <c r="V90" s="32"/>
      <c r="W90" s="31"/>
      <c r="Z90" s="31"/>
      <c r="AA90" s="32"/>
      <c r="AB90" s="30"/>
    </row>
    <row r="93" spans="20:28">
      <c r="T93" s="31"/>
      <c r="U93" s="35"/>
      <c r="V93" s="32"/>
      <c r="W93" s="31"/>
      <c r="Z93" s="31"/>
      <c r="AA93" s="32"/>
      <c r="AB93" s="30"/>
    </row>
    <row r="94" spans="20:28">
      <c r="T94" s="31"/>
      <c r="U94" s="35"/>
      <c r="V94" s="32"/>
      <c r="W94" s="31"/>
      <c r="Z94" s="31"/>
      <c r="AA94" s="32"/>
      <c r="AB94" s="30"/>
    </row>
    <row r="95" spans="20:28">
      <c r="T95" s="31"/>
      <c r="U95" s="35"/>
      <c r="V95" s="32"/>
      <c r="W95" s="31"/>
      <c r="Z95" s="31"/>
      <c r="AA95" s="32"/>
      <c r="AB95" s="30"/>
    </row>
    <row r="96" spans="20:28">
      <c r="T96" s="31"/>
      <c r="U96" s="35"/>
      <c r="V96" s="32"/>
      <c r="W96" s="31"/>
      <c r="Z96" s="31"/>
      <c r="AA96" s="32"/>
      <c r="AB96" s="30"/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13"/>
  <sheetViews>
    <sheetView showGridLines="0" showOutlineSymbols="0" zoomScale="120" zoomScaleNormal="120" workbookViewId="0">
      <selection activeCell="C8" sqref="C8"/>
    </sheetView>
  </sheetViews>
  <sheetFormatPr defaultColWidth="16.7109375" defaultRowHeight="15"/>
  <cols>
    <col min="1" max="1" width="4.85546875" style="449" customWidth="1"/>
    <col min="2" max="2" width="33.5703125" style="452" bestFit="1" customWidth="1"/>
    <col min="3" max="3" width="21.28515625" style="452" customWidth="1"/>
    <col min="4" max="4" width="21.28515625" style="452" hidden="1" customWidth="1"/>
    <col min="5" max="5" width="7.28515625" style="452" customWidth="1"/>
    <col min="6" max="6" width="5.7109375" style="449" customWidth="1"/>
    <col min="7" max="7" width="8.5703125" style="449" customWidth="1"/>
    <col min="8" max="8" width="15" style="449" customWidth="1"/>
    <col min="9" max="9" width="17.7109375" style="449" customWidth="1"/>
    <col min="10" max="10" width="13.28515625" style="449" customWidth="1"/>
    <col min="11" max="11" width="15.140625" style="449" bestFit="1" customWidth="1"/>
    <col min="12" max="13" width="18.42578125" style="449" customWidth="1"/>
    <col min="14" max="14" width="6.140625" style="449" customWidth="1"/>
    <col min="15" max="15" width="6.28515625" style="452" customWidth="1"/>
    <col min="16" max="16" width="40.42578125" style="452" customWidth="1"/>
    <col min="17" max="17" width="16.7109375" style="451"/>
    <col min="18" max="18" width="13.85546875" style="450" customWidth="1"/>
    <col min="19" max="19" width="16.7109375" style="449"/>
    <col min="20" max="20" width="13.42578125" style="449" customWidth="1"/>
    <col min="21" max="21" width="15.7109375" style="449" customWidth="1"/>
    <col min="22" max="22" width="16.7109375" style="449"/>
    <col min="23" max="24" width="17.7109375" style="449" customWidth="1"/>
    <col min="25" max="25" width="16" style="449" customWidth="1"/>
    <col min="26" max="26" width="16.7109375" style="449"/>
    <col min="27" max="27" width="15.85546875" style="449" customWidth="1"/>
    <col min="28" max="29" width="16.7109375" style="449"/>
    <col min="30" max="30" width="16.42578125" style="449" customWidth="1"/>
    <col min="31" max="31" width="17.28515625" style="449" customWidth="1"/>
    <col min="32" max="32" width="20.7109375" style="449" customWidth="1"/>
    <col min="33" max="33" width="18.140625" style="449" customWidth="1"/>
    <col min="34" max="34" width="16.42578125" style="449" customWidth="1"/>
    <col min="35" max="35" width="16.7109375" style="449"/>
    <col min="36" max="36" width="13.85546875" style="449" customWidth="1"/>
    <col min="37" max="37" width="16.42578125" style="449" customWidth="1"/>
    <col min="38" max="49" width="15.140625" style="449" customWidth="1"/>
    <col min="50" max="16384" width="16.7109375" style="449"/>
  </cols>
  <sheetData>
    <row r="1" spans="1:35" s="606" customFormat="1" ht="15.75" thickBot="1">
      <c r="A1" s="468"/>
      <c r="B1" s="609"/>
      <c r="C1" s="609"/>
      <c r="D1" s="609"/>
      <c r="E1" s="609"/>
      <c r="F1" s="609"/>
      <c r="G1" s="609"/>
      <c r="H1" s="609"/>
      <c r="I1" s="610"/>
      <c r="J1" s="610"/>
      <c r="K1" s="610"/>
      <c r="L1" s="610"/>
      <c r="M1" s="610"/>
      <c r="N1" s="610"/>
      <c r="O1" s="609"/>
      <c r="P1" s="609"/>
      <c r="Q1" s="608"/>
      <c r="R1" s="607"/>
    </row>
    <row r="2" spans="1:35" ht="19.5" thickBot="1">
      <c r="A2" s="468"/>
      <c r="B2" s="778" t="s">
        <v>1270</v>
      </c>
      <c r="C2" s="778"/>
      <c r="D2" s="468"/>
      <c r="E2" s="468"/>
      <c r="F2" s="603" t="s">
        <v>1268</v>
      </c>
      <c r="G2" s="604"/>
      <c r="H2" s="604"/>
      <c r="I2" s="605" t="s">
        <v>1269</v>
      </c>
      <c r="J2" s="604"/>
      <c r="K2" s="604"/>
      <c r="L2" s="604"/>
      <c r="M2" s="603" t="s">
        <v>1268</v>
      </c>
      <c r="O2" s="468"/>
      <c r="P2" s="468"/>
      <c r="R2" s="602" t="s">
        <v>1267</v>
      </c>
      <c r="S2" s="601"/>
      <c r="T2" s="600"/>
      <c r="AF2" s="775" t="s">
        <v>1266</v>
      </c>
      <c r="AG2" s="776"/>
      <c r="AH2" s="776"/>
      <c r="AI2" s="777"/>
    </row>
    <row r="3" spans="1:35" ht="15.75">
      <c r="A3" s="468"/>
      <c r="B3" s="468"/>
      <c r="C3" s="468"/>
      <c r="D3" s="468"/>
      <c r="E3" s="468"/>
      <c r="F3" s="599"/>
      <c r="G3" s="506"/>
      <c r="K3" s="598" t="s">
        <v>1265</v>
      </c>
      <c r="M3" s="598" t="s">
        <v>1264</v>
      </c>
      <c r="O3" s="468"/>
      <c r="P3" s="468"/>
      <c r="R3" s="449"/>
      <c r="T3" s="449" t="s">
        <v>1263</v>
      </c>
      <c r="V3" s="450" t="s">
        <v>1263</v>
      </c>
      <c r="W3" s="450" t="s">
        <v>1263</v>
      </c>
      <c r="X3" s="450" t="s">
        <v>1263</v>
      </c>
      <c r="Y3" s="450" t="s">
        <v>1262</v>
      </c>
      <c r="Z3" s="450" t="s">
        <v>1262</v>
      </c>
      <c r="AA3" s="450" t="s">
        <v>1262</v>
      </c>
      <c r="AB3" s="450" t="s">
        <v>1262</v>
      </c>
      <c r="AC3" s="450" t="s">
        <v>1262</v>
      </c>
      <c r="AD3" s="450" t="s">
        <v>1262</v>
      </c>
      <c r="AE3" s="450" t="s">
        <v>1236</v>
      </c>
      <c r="AF3" s="450" t="s">
        <v>151</v>
      </c>
      <c r="AG3" s="450" t="s">
        <v>1261</v>
      </c>
      <c r="AH3" s="450"/>
    </row>
    <row r="4" spans="1:35" ht="19.5" thickBot="1">
      <c r="A4" s="468"/>
      <c r="B4" s="597" t="s">
        <v>1260</v>
      </c>
      <c r="C4" s="596"/>
      <c r="D4" s="576"/>
      <c r="E4" s="468"/>
      <c r="F4" s="504"/>
      <c r="G4" s="506"/>
      <c r="H4" s="593" t="s">
        <v>1259</v>
      </c>
      <c r="I4" s="593" t="s">
        <v>1258</v>
      </c>
      <c r="J4" s="593" t="s">
        <v>1257</v>
      </c>
      <c r="K4" s="593" t="s">
        <v>1256</v>
      </c>
      <c r="L4" s="593" t="s">
        <v>1255</v>
      </c>
      <c r="M4" s="593" t="s">
        <v>1254</v>
      </c>
      <c r="O4" s="595"/>
      <c r="P4" s="468"/>
      <c r="R4" s="449"/>
      <c r="T4" s="450" t="s">
        <v>1251</v>
      </c>
      <c r="V4" s="450" t="s">
        <v>1253</v>
      </c>
      <c r="W4" s="450" t="s">
        <v>848</v>
      </c>
      <c r="X4" s="450" t="s">
        <v>1172</v>
      </c>
      <c r="Y4" s="450" t="s">
        <v>1252</v>
      </c>
      <c r="Z4" s="450" t="s">
        <v>1252</v>
      </c>
      <c r="AA4" s="450" t="s">
        <v>1252</v>
      </c>
      <c r="AB4" s="450" t="s">
        <v>848</v>
      </c>
      <c r="AC4" s="450" t="s">
        <v>1251</v>
      </c>
      <c r="AD4" s="450" t="s">
        <v>1251</v>
      </c>
      <c r="AE4" s="450" t="s">
        <v>1250</v>
      </c>
      <c r="AF4" s="450" t="s">
        <v>1249</v>
      </c>
      <c r="AG4" s="450" t="s">
        <v>1248</v>
      </c>
      <c r="AH4" s="450" t="s">
        <v>1247</v>
      </c>
      <c r="AI4" s="450" t="s">
        <v>113</v>
      </c>
    </row>
    <row r="5" spans="1:35" ht="15.75">
      <c r="A5" s="468"/>
      <c r="B5" s="578" t="s">
        <v>1231</v>
      </c>
      <c r="C5" s="767">
        <f>+'Staff Pro Forma'!V21</f>
        <v>541215.61379089626</v>
      </c>
      <c r="D5" s="576"/>
      <c r="E5" s="468"/>
      <c r="F5" s="594" t="s">
        <v>1246</v>
      </c>
      <c r="G5" s="510"/>
      <c r="H5" s="510"/>
      <c r="I5" s="593" t="s">
        <v>1245</v>
      </c>
      <c r="J5" s="593" t="s">
        <v>151</v>
      </c>
      <c r="K5" s="592" t="s">
        <v>88</v>
      </c>
      <c r="L5" s="592" t="s">
        <v>1244</v>
      </c>
      <c r="M5" s="592" t="s">
        <v>151</v>
      </c>
      <c r="O5" s="572"/>
      <c r="P5" s="468"/>
      <c r="R5" s="591"/>
      <c r="T5" s="450" t="s">
        <v>1238</v>
      </c>
      <c r="U5" s="450" t="s">
        <v>1243</v>
      </c>
      <c r="V5" s="450" t="s">
        <v>1242</v>
      </c>
      <c r="W5" s="450" t="s">
        <v>1241</v>
      </c>
      <c r="X5" s="450" t="s">
        <v>135</v>
      </c>
      <c r="Y5" s="450" t="s">
        <v>1176</v>
      </c>
      <c r="Z5" s="450" t="s">
        <v>1240</v>
      </c>
      <c r="AA5" s="450" t="s">
        <v>1180</v>
      </c>
      <c r="AB5" s="450" t="s">
        <v>1239</v>
      </c>
      <c r="AC5" s="450" t="s">
        <v>1238</v>
      </c>
      <c r="AD5" s="450" t="s">
        <v>1169</v>
      </c>
      <c r="AE5" s="450" t="s">
        <v>1190</v>
      </c>
      <c r="AF5" s="450" t="s">
        <v>1237</v>
      </c>
      <c r="AG5" s="450" t="s">
        <v>1237</v>
      </c>
      <c r="AH5" s="450" t="s">
        <v>1190</v>
      </c>
      <c r="AI5" s="450" t="s">
        <v>1236</v>
      </c>
    </row>
    <row r="6" spans="1:35" ht="15.75">
      <c r="A6" s="468"/>
      <c r="B6" s="578" t="s">
        <v>1229</v>
      </c>
      <c r="C6" s="767">
        <f>+'Staff Pro Forma'!V102</f>
        <v>444492.17346719833</v>
      </c>
      <c r="D6" s="576"/>
      <c r="E6" s="468"/>
      <c r="F6" s="590" t="s">
        <v>1235</v>
      </c>
      <c r="G6" s="510"/>
      <c r="H6" s="510"/>
      <c r="I6" s="589"/>
      <c r="J6" s="587" t="s">
        <v>1234</v>
      </c>
      <c r="K6" s="588"/>
      <c r="L6" s="587" t="s">
        <v>1233</v>
      </c>
      <c r="M6" s="587" t="s">
        <v>1232</v>
      </c>
      <c r="O6" s="572"/>
      <c r="P6" s="468"/>
      <c r="R6" s="761">
        <v>1</v>
      </c>
      <c r="S6" s="760">
        <f>Revenue/Investment*100</f>
        <v>374.38496864424502</v>
      </c>
      <c r="T6" s="759">
        <f>EXP(y_inter1-(slope*LN(+S6)))</f>
        <v>5.3209969387000289</v>
      </c>
      <c r="U6" s="758">
        <f>(+S6*T6/100)/100</f>
        <v>0.1992101272051334</v>
      </c>
      <c r="V6" s="758">
        <f>regDebt_weighted</f>
        <v>3.5860000000000003E-2</v>
      </c>
      <c r="W6" s="758">
        <f>+U6-V6</f>
        <v>0.16335012720513339</v>
      </c>
      <c r="X6" s="758">
        <f>+((W6*(1-0.34))-Pfd_weighted)/Equity_percent</f>
        <v>0.29541012777729075</v>
      </c>
      <c r="Y6" s="758">
        <f>X6*equityP</f>
        <v>0.17724607666637446</v>
      </c>
      <c r="Z6" s="758">
        <f>+Y6/(1-taxrate)</f>
        <v>0.22436212236249931</v>
      </c>
      <c r="AA6" s="758">
        <f>debtP*Debt_Rate</f>
        <v>2.0000000000000004E-2</v>
      </c>
      <c r="AB6" s="758">
        <f>AA6+Z6</f>
        <v>0.24436212236249932</v>
      </c>
      <c r="AC6" s="758">
        <f>AB6/(S6/100)</f>
        <v>6.527028134900939E-2</v>
      </c>
      <c r="AD6" s="758">
        <f>1-AC6</f>
        <v>0.93472971865099064</v>
      </c>
      <c r="AE6" s="755">
        <f>expenses/(AD6)</f>
        <v>475530.16085622372</v>
      </c>
      <c r="AF6" s="757">
        <f>+AE6-Revenue</f>
        <v>-65685.452934672532</v>
      </c>
      <c r="AG6" s="756">
        <f ca="1">+AF6/$J$49</f>
        <v>-72304.951827006342</v>
      </c>
      <c r="AH6" s="756">
        <f ca="1">+AG6*$J$47</f>
        <v>-1634.0919112903434</v>
      </c>
      <c r="AI6" s="755">
        <f ca="1">ROUND(+AH6+AE6,5)</f>
        <v>473896.06894000003</v>
      </c>
    </row>
    <row r="7" spans="1:35" ht="15.75">
      <c r="A7" s="468"/>
      <c r="B7" s="578" t="s">
        <v>1067</v>
      </c>
      <c r="C7" s="766">
        <f>+'Results of Operations Regulated'!J108</f>
        <v>144561.25622532141</v>
      </c>
      <c r="D7" s="576"/>
      <c r="E7" s="468"/>
      <c r="F7" s="765">
        <v>1</v>
      </c>
      <c r="G7" s="510"/>
      <c r="H7" s="554" t="s">
        <v>1231</v>
      </c>
      <c r="I7" s="558">
        <f>IF(A65=TRUE,C5,0)</f>
        <v>541215.61379089626</v>
      </c>
      <c r="J7" s="558">
        <f ca="1">(+$I8/($R51))-I7</f>
        <v>-63923.957718395686</v>
      </c>
      <c r="K7" s="558">
        <f ca="1">+I7+J7</f>
        <v>477291.65607250057</v>
      </c>
      <c r="L7" s="558">
        <f ca="1">((+J7/J49*K35)-J7)</f>
        <v>-1590.2702589138571</v>
      </c>
      <c r="M7" s="558">
        <f ca="1">IFERROR(+K7+L7,0.00001)</f>
        <v>475701.3858135867</v>
      </c>
      <c r="O7" s="572"/>
      <c r="P7" s="468"/>
      <c r="R7" s="544">
        <v>2</v>
      </c>
      <c r="S7" s="539">
        <f>Revenue/Investment*100</f>
        <v>374.38496864424502</v>
      </c>
      <c r="T7" s="540">
        <f>EXP(y_inter1-(slope*LN(+S7)))</f>
        <v>5.3209969387000289</v>
      </c>
      <c r="U7" s="537">
        <f>(+S7*T7/100)/100</f>
        <v>0.1992101272051334</v>
      </c>
      <c r="V7" s="537">
        <f>regDebt_weighted</f>
        <v>3.5860000000000003E-2</v>
      </c>
      <c r="W7" s="537">
        <f>+U7-V7</f>
        <v>0.16335012720513339</v>
      </c>
      <c r="X7" s="537">
        <f>+((W7*(1-0.34))-Pfd_weighted)/Equity_percent</f>
        <v>0.29541012777729075</v>
      </c>
      <c r="Y7" s="537">
        <f>X7*equityP</f>
        <v>0.17724607666637446</v>
      </c>
      <c r="Z7" s="537">
        <f>+Y7/(1-taxrate)</f>
        <v>0.22436212236249931</v>
      </c>
      <c r="AA7" s="537">
        <f>debtP*Debt_Rate</f>
        <v>2.0000000000000004E-2</v>
      </c>
      <c r="AB7" s="537">
        <f>AA7+Z7</f>
        <v>0.24436212236249932</v>
      </c>
      <c r="AC7" s="537">
        <f>AB7/(S7/100)</f>
        <v>6.527028134900939E-2</v>
      </c>
      <c r="AD7" s="537">
        <f>1-AC7</f>
        <v>0.93472971865099064</v>
      </c>
      <c r="AE7" s="534">
        <f>expenses/(AD7)</f>
        <v>475530.16085622372</v>
      </c>
      <c r="AF7" s="536">
        <f>+AE7-Revenue</f>
        <v>-65685.452934672532</v>
      </c>
      <c r="AG7" s="535">
        <f ca="1">+AF7/$J$49</f>
        <v>-72304.951827006342</v>
      </c>
      <c r="AH7" s="535">
        <f ca="1">+AG7*$J$47</f>
        <v>-1634.0919112903434</v>
      </c>
      <c r="AI7" s="534">
        <f ca="1">ROUND(+AH7+AE7,5)</f>
        <v>473896.06894000003</v>
      </c>
    </row>
    <row r="8" spans="1:35" ht="15.75">
      <c r="A8" s="468"/>
      <c r="B8" s="578" t="s">
        <v>1230</v>
      </c>
      <c r="C8" s="762">
        <v>0.4</v>
      </c>
      <c r="D8" s="576"/>
      <c r="E8" s="468"/>
      <c r="F8" s="505">
        <f t="shared" ref="F8:F49" si="0">+F7+1</f>
        <v>2</v>
      </c>
      <c r="G8" s="510"/>
      <c r="H8" s="554" t="s">
        <v>1229</v>
      </c>
      <c r="I8" s="558">
        <f>IF(A65=TRUE,C6,0)</f>
        <v>444492.17346719833</v>
      </c>
      <c r="J8" s="506"/>
      <c r="K8" s="558">
        <f>+I8</f>
        <v>444492.17346719833</v>
      </c>
      <c r="L8" s="558">
        <f ca="1">+L7</f>
        <v>-1590.2702589138571</v>
      </c>
      <c r="M8" s="558">
        <f ca="1">IFERROR(+K8+L8,0.00001)</f>
        <v>442901.90320828446</v>
      </c>
      <c r="O8" s="572"/>
      <c r="P8" s="468"/>
      <c r="R8" s="512">
        <v>3</v>
      </c>
      <c r="S8" s="539">
        <f>Revenue/Investment*100</f>
        <v>374.38496864424502</v>
      </c>
      <c r="T8" s="540">
        <f>EXP(y_inter1-(slope*LN(+S8)))</f>
        <v>5.3209969387000289</v>
      </c>
      <c r="U8" s="537">
        <f>(+S8*T8/100)/100</f>
        <v>0.1992101272051334</v>
      </c>
      <c r="V8" s="537">
        <f>regDebt_weighted</f>
        <v>3.5860000000000003E-2</v>
      </c>
      <c r="W8" s="537">
        <f>+U8-V8</f>
        <v>0.16335012720513339</v>
      </c>
      <c r="X8" s="537">
        <f>+((W8*(1-0.34))-Pfd_weighted)/Equity_percent</f>
        <v>0.29541012777729075</v>
      </c>
      <c r="Y8" s="537">
        <f>X8*equityP</f>
        <v>0.17724607666637446</v>
      </c>
      <c r="Z8" s="537">
        <f>+Y8/(1-taxrate)</f>
        <v>0.22436212236249931</v>
      </c>
      <c r="AA8" s="537">
        <f>debtP*Debt_Rate</f>
        <v>2.0000000000000004E-2</v>
      </c>
      <c r="AB8" s="537">
        <f>AA8+Z8</f>
        <v>0.24436212236249932</v>
      </c>
      <c r="AC8" s="537">
        <f>AB8/(S8/100)</f>
        <v>6.527028134900939E-2</v>
      </c>
      <c r="AD8" s="537">
        <f>1-AC8</f>
        <v>0.93472971865099064</v>
      </c>
      <c r="AE8" s="534">
        <f>expenses/(AD8)</f>
        <v>475530.16085622372</v>
      </c>
      <c r="AF8" s="536">
        <f>+AE8-Revenue</f>
        <v>-65685.452934672532</v>
      </c>
      <c r="AG8" s="535">
        <f ca="1">+AF8/$J$49</f>
        <v>-72304.951827006342</v>
      </c>
      <c r="AH8" s="535">
        <f ca="1">+AG8*$J$47</f>
        <v>-1634.0919112903434</v>
      </c>
      <c r="AI8" s="534">
        <f ca="1">ROUND(+AH8+AE8,5)</f>
        <v>473896.06894000003</v>
      </c>
    </row>
    <row r="9" spans="1:35" ht="15.75">
      <c r="A9" s="468"/>
      <c r="B9" s="578" t="s">
        <v>1228</v>
      </c>
      <c r="C9" s="762">
        <v>0.05</v>
      </c>
      <c r="D9" s="576"/>
      <c r="E9" s="468"/>
      <c r="F9" s="505">
        <f t="shared" si="0"/>
        <v>3</v>
      </c>
      <c r="G9" s="510"/>
      <c r="H9" s="554" t="s">
        <v>1227</v>
      </c>
      <c r="I9" s="764">
        <f>+I7-I8</f>
        <v>96723.440323697927</v>
      </c>
      <c r="J9" s="506"/>
      <c r="K9" s="764">
        <f ca="1">+K7-K8</f>
        <v>32799.482605302241</v>
      </c>
      <c r="L9" s="510"/>
      <c r="M9" s="763">
        <f ca="1">+M7-M8</f>
        <v>32799.482605302241</v>
      </c>
      <c r="O9" s="572"/>
      <c r="P9" s="468"/>
      <c r="R9" s="518">
        <v>4</v>
      </c>
      <c r="S9" s="539">
        <f>Revenue/Investment*100</f>
        <v>374.38496864424502</v>
      </c>
      <c r="T9" s="540">
        <f>EXP(y_inter1-(slope*LN(+S9)))</f>
        <v>5.3209969387000289</v>
      </c>
      <c r="U9" s="537">
        <f>(+S9*T9/100)/100</f>
        <v>0.1992101272051334</v>
      </c>
      <c r="V9" s="537">
        <f>regDebt_weighted</f>
        <v>3.5860000000000003E-2</v>
      </c>
      <c r="W9" s="537">
        <f>+U9-V9</f>
        <v>0.16335012720513339</v>
      </c>
      <c r="X9" s="537">
        <f>+((W9*(1-0.34))-Pfd_weighted)/Equity_percent</f>
        <v>0.29541012777729075</v>
      </c>
      <c r="Y9" s="537">
        <f>X9*equityP</f>
        <v>0.17724607666637446</v>
      </c>
      <c r="Z9" s="537">
        <f>+Y9/(1-taxrate)</f>
        <v>0.22436212236249931</v>
      </c>
      <c r="AA9" s="537">
        <f>debtP*Debt_Rate</f>
        <v>2.0000000000000004E-2</v>
      </c>
      <c r="AB9" s="537">
        <f>AA9+Z9</f>
        <v>0.24436212236249932</v>
      </c>
      <c r="AC9" s="537">
        <f>AB9/(S9/100)</f>
        <v>6.527028134900939E-2</v>
      </c>
      <c r="AD9" s="537">
        <f>1-AC9</f>
        <v>0.93472971865099064</v>
      </c>
      <c r="AE9" s="534">
        <f>expenses/(AD9)</f>
        <v>475530.16085622372</v>
      </c>
      <c r="AF9" s="536">
        <f>+AE9-Revenue</f>
        <v>-65685.452934672532</v>
      </c>
      <c r="AG9" s="535">
        <f ca="1">+AF9/$J$49</f>
        <v>-72304.951827006342</v>
      </c>
      <c r="AH9" s="535">
        <f ca="1">+AG9*$J$47</f>
        <v>-1634.0919112903434</v>
      </c>
      <c r="AI9" s="534">
        <f ca="1">ROUND(+AH9+AE9,5)</f>
        <v>473896.06894000003</v>
      </c>
    </row>
    <row r="10" spans="1:35" ht="15.75">
      <c r="A10" s="468"/>
      <c r="B10" s="586" t="s">
        <v>1226</v>
      </c>
      <c r="C10" s="762">
        <v>0.21</v>
      </c>
      <c r="D10" s="576"/>
      <c r="E10" s="468"/>
      <c r="F10" s="505">
        <f t="shared" si="0"/>
        <v>4</v>
      </c>
      <c r="G10" s="510"/>
      <c r="H10" s="510"/>
      <c r="I10" s="506"/>
      <c r="J10" s="506"/>
      <c r="K10" s="558"/>
      <c r="L10" s="510"/>
      <c r="M10" s="510"/>
      <c r="N10" s="510"/>
      <c r="O10" s="572"/>
      <c r="P10" s="468"/>
      <c r="R10" s="450" t="s">
        <v>1225</v>
      </c>
    </row>
    <row r="11" spans="1:35" ht="15.75">
      <c r="A11" s="468"/>
      <c r="B11" s="578" t="s">
        <v>1224</v>
      </c>
      <c r="C11" s="754">
        <v>1.7500000000000002E-2</v>
      </c>
      <c r="D11" s="576"/>
      <c r="E11" s="468"/>
      <c r="F11" s="505">
        <f t="shared" si="0"/>
        <v>5</v>
      </c>
      <c r="G11" s="510"/>
      <c r="H11" s="554" t="s">
        <v>1223</v>
      </c>
      <c r="I11" s="558">
        <f>+K11</f>
        <v>2891.2251245064285</v>
      </c>
      <c r="J11" s="506"/>
      <c r="K11" s="558">
        <f>+M27</f>
        <v>2891.2251245064285</v>
      </c>
      <c r="L11" s="510"/>
      <c r="M11" s="558">
        <f>+K11</f>
        <v>2891.2251245064285</v>
      </c>
      <c r="O11" s="572"/>
      <c r="P11" s="468"/>
      <c r="R11" s="761">
        <v>1</v>
      </c>
      <c r="S11" s="760">
        <f ca="1">IF((AI6/Investment*100)&gt;0,(AI6/Investment*100),0)</f>
        <v>327.81678944554733</v>
      </c>
      <c r="T11" s="759">
        <f ca="1">EXP(y_inter1-(slope*LN(S11)))</f>
        <v>5.8268256680537869</v>
      </c>
      <c r="U11" s="758">
        <f ca="1">(+S11*T11/100)/100</f>
        <v>0.1910131283160299</v>
      </c>
      <c r="V11" s="758">
        <f>regDebt_weighted</f>
        <v>3.5860000000000003E-2</v>
      </c>
      <c r="W11" s="758">
        <f ca="1">+U11-V11</f>
        <v>0.1551531283160299</v>
      </c>
      <c r="X11" s="758">
        <f ca="1">+((W11*(1-0.34))-Pfd_weighted)/Equity_percent</f>
        <v>0.27968332758308062</v>
      </c>
      <c r="Y11" s="758">
        <f ca="1">+X11*equityP</f>
        <v>0.16780999654984838</v>
      </c>
      <c r="Z11" s="758">
        <f ca="1">+Y11/(1-taxrate)</f>
        <v>0.21241771715170679</v>
      </c>
      <c r="AA11" s="758">
        <f>debtP*Debt_Rate</f>
        <v>2.0000000000000004E-2</v>
      </c>
      <c r="AB11" s="758">
        <f ca="1">+AA11+Z11</f>
        <v>0.23241771715170678</v>
      </c>
      <c r="AC11" s="758">
        <f ca="1">+AB11/(S11/100)</f>
        <v>7.0898661885135994E-2</v>
      </c>
      <c r="AD11" s="758">
        <f ca="1">1-AC11</f>
        <v>0.92910133811486406</v>
      </c>
      <c r="AE11" s="755">
        <f ca="1">expenses/(AD11)</f>
        <v>478410.86352223734</v>
      </c>
      <c r="AF11" s="757">
        <f ca="1">+AE11-Revenue</f>
        <v>-62804.750268658914</v>
      </c>
      <c r="AG11" s="756">
        <f ca="1">+AF11/$J$49</f>
        <v>-69133.944272240798</v>
      </c>
      <c r="AH11" s="756">
        <f ca="1">+AG11*$J$47</f>
        <v>-1562.4271405526422</v>
      </c>
      <c r="AI11" s="755">
        <f ca="1">ROUND(+AH11+AE11,5)</f>
        <v>476848.43638000003</v>
      </c>
    </row>
    <row r="12" spans="1:35" ht="15.75">
      <c r="A12" s="468"/>
      <c r="B12" s="578" t="s">
        <v>1222</v>
      </c>
      <c r="C12" s="754">
        <v>5.1000000000000004E-3</v>
      </c>
      <c r="D12" s="576"/>
      <c r="E12" s="468"/>
      <c r="F12" s="505">
        <f t="shared" si="0"/>
        <v>6</v>
      </c>
      <c r="G12" s="510"/>
      <c r="H12" s="554" t="s">
        <v>1221</v>
      </c>
      <c r="I12" s="558">
        <f ca="1">IF(I14&lt;0,0,+J38*I14)</f>
        <v>16284.929910603481</v>
      </c>
      <c r="J12" s="558">
        <f ca="1">+K12-I12</f>
        <v>-10004.195839636363</v>
      </c>
      <c r="K12" s="558">
        <f ca="1">+(K9-K11)*taxrate</f>
        <v>6280.7340709671198</v>
      </c>
      <c r="L12" s="510"/>
      <c r="M12" s="558">
        <f ca="1">+K12</f>
        <v>6280.7340709671198</v>
      </c>
      <c r="O12" s="572"/>
      <c r="P12" s="468"/>
      <c r="R12" s="544">
        <v>2</v>
      </c>
      <c r="S12" s="539">
        <f ca="1">IF((AI7/Investment*100)&gt;0,(AI7/Investment*100),0)</f>
        <v>327.81678944554733</v>
      </c>
      <c r="T12" s="543">
        <f ca="1">EXP(y_inter2-(slope*LN(+S12)))</f>
        <v>5.7439226748419543</v>
      </c>
      <c r="U12" s="537">
        <f ca="1">(+S12*T12/100)/100</f>
        <v>0.188295429009017</v>
      </c>
      <c r="V12" s="537">
        <f>regDebt_weighted</f>
        <v>3.5860000000000003E-2</v>
      </c>
      <c r="W12" s="537">
        <f ca="1">+U12-V12</f>
        <v>0.15243542900901699</v>
      </c>
      <c r="X12" s="537">
        <f ca="1">+((W12*(1-0.34))-Pfd_weighted)/Equity_percent</f>
        <v>0.27446913705218373</v>
      </c>
      <c r="Y12" s="537">
        <f ca="1">+X12*equityP</f>
        <v>0.16468148223131024</v>
      </c>
      <c r="Z12" s="537">
        <f ca="1">+Y12/(1-taxrate)</f>
        <v>0.20845757244469648</v>
      </c>
      <c r="AA12" s="537">
        <f>debtP*Debt_Rate</f>
        <v>2.0000000000000004E-2</v>
      </c>
      <c r="AB12" s="537">
        <f ca="1">+AA12+Z12</f>
        <v>0.2284575724446965</v>
      </c>
      <c r="AC12" s="537">
        <f ca="1">+AB12/(S12/100)</f>
        <v>6.9690625922820507E-2</v>
      </c>
      <c r="AD12" s="537">
        <f ca="1">1-AC12</f>
        <v>0.93030937407717951</v>
      </c>
      <c r="AE12" s="534">
        <f ca="1">expenses/(AD12)</f>
        <v>477789.63197926752</v>
      </c>
      <c r="AF12" s="536">
        <f ca="1">+AE12-Revenue</f>
        <v>-63425.981811628735</v>
      </c>
      <c r="AG12" s="535">
        <f ca="1">+AF12/$J$49</f>
        <v>-69817.780871990253</v>
      </c>
      <c r="AH12" s="535">
        <f ca="1">+AG12*$J$47</f>
        <v>-1577.8818477069799</v>
      </c>
      <c r="AI12" s="534">
        <f ca="1">ROUND(+AH12+AE12,5)</f>
        <v>476211.75013</v>
      </c>
    </row>
    <row r="13" spans="1:35" ht="15.75">
      <c r="A13" s="468"/>
      <c r="B13" s="578" t="s">
        <v>1220</v>
      </c>
      <c r="C13" s="754">
        <v>0</v>
      </c>
      <c r="D13" s="576"/>
      <c r="E13" s="468"/>
      <c r="F13" s="505">
        <f t="shared" si="0"/>
        <v>7</v>
      </c>
      <c r="G13" s="510"/>
      <c r="H13" s="510"/>
      <c r="I13" s="506"/>
      <c r="J13" s="506"/>
      <c r="K13" s="558"/>
      <c r="L13" s="510"/>
      <c r="M13" s="510"/>
      <c r="O13" s="572"/>
      <c r="P13" s="468"/>
      <c r="R13" s="512">
        <v>3</v>
      </c>
      <c r="S13" s="539">
        <f ca="1">IF((AI8/Investment*100)&gt;0,(AI8/Investment*100),0)</f>
        <v>327.81678944554733</v>
      </c>
      <c r="T13" s="540">
        <f ca="1">EXP(y_inter3-(slope*LN(S13)))</f>
        <v>5.6880777967504841</v>
      </c>
      <c r="U13" s="537">
        <f ca="1">(+S13*T13/100)/100</f>
        <v>0.18646474014472464</v>
      </c>
      <c r="V13" s="537">
        <f>regDebt_weighted</f>
        <v>3.5860000000000003E-2</v>
      </c>
      <c r="W13" s="537">
        <f ca="1">+U13-V13</f>
        <v>0.15060474014472464</v>
      </c>
      <c r="X13" s="537">
        <f ca="1">+((W13*(1-0.34))-Pfd_weighted)/Equity_percent</f>
        <v>0.27095676888232051</v>
      </c>
      <c r="Y13" s="537">
        <f ca="1">+X13*equityP</f>
        <v>0.16257406132939231</v>
      </c>
      <c r="Z13" s="537">
        <f ca="1">+Y13/(1-taxrate)</f>
        <v>0.20578995104986367</v>
      </c>
      <c r="AA13" s="537">
        <f>debtP*Debt_Rate</f>
        <v>2.0000000000000004E-2</v>
      </c>
      <c r="AB13" s="537">
        <f ca="1">+AA13+Z13</f>
        <v>0.22578995104986366</v>
      </c>
      <c r="AC13" s="537">
        <f ca="1">+AB13/(S13/100)</f>
        <v>6.8876872179656615E-2</v>
      </c>
      <c r="AD13" s="537">
        <f ca="1">1-AC13</f>
        <v>0.93112312782034334</v>
      </c>
      <c r="AE13" s="534">
        <f ca="1">expenses/(AD13)</f>
        <v>477372.06840485806</v>
      </c>
      <c r="AF13" s="536">
        <f ca="1">+AE13-Revenue</f>
        <v>-63843.545386038197</v>
      </c>
      <c r="AG13" s="535">
        <f ca="1">+AF13/$J$49</f>
        <v>-70277.424716760826</v>
      </c>
      <c r="AH13" s="535">
        <f ca="1">+AG13*$J$47</f>
        <v>-1588.2697985987948</v>
      </c>
      <c r="AI13" s="534">
        <f ca="1">ROUND(+AH13+AE13,5)</f>
        <v>475783.79861</v>
      </c>
    </row>
    <row r="14" spans="1:35" ht="16.5" thickBot="1">
      <c r="A14" s="468"/>
      <c r="B14" s="577" t="s">
        <v>1219</v>
      </c>
      <c r="C14" s="754">
        <v>0</v>
      </c>
      <c r="D14" s="576"/>
      <c r="E14" s="468"/>
      <c r="F14" s="505">
        <f t="shared" si="0"/>
        <v>8</v>
      </c>
      <c r="G14" s="510"/>
      <c r="H14" s="510" t="s">
        <v>1218</v>
      </c>
      <c r="I14" s="753">
        <f ca="1">+I9-SUM(I11:I13)</f>
        <v>77547.285288588013</v>
      </c>
      <c r="J14" s="506"/>
      <c r="K14" s="753">
        <f ca="1">+K9-SUM(K11:K13)</f>
        <v>23627.523409828693</v>
      </c>
      <c r="L14" s="510"/>
      <c r="M14" s="753">
        <f ca="1">+M9-SUM(M11:M13)</f>
        <v>23627.523409828693</v>
      </c>
      <c r="O14" s="572"/>
      <c r="P14" s="468"/>
      <c r="R14" s="518">
        <v>4</v>
      </c>
      <c r="S14" s="539">
        <f ca="1">IF((AI9/Investment*100)&gt;0,(AI9/Investment*100),0)</f>
        <v>327.81678944554733</v>
      </c>
      <c r="T14" s="538">
        <f ca="1">EXP(y_inter4-(slope*LN(S14)))</f>
        <v>5.6523555498599123</v>
      </c>
      <c r="U14" s="537">
        <f ca="1">(+S14*T14/100)/100</f>
        <v>0.18529370491597977</v>
      </c>
      <c r="V14" s="537">
        <f>regDebt_weighted</f>
        <v>3.5860000000000003E-2</v>
      </c>
      <c r="W14" s="537">
        <f ca="1">+U14-V14</f>
        <v>0.14943370491597976</v>
      </c>
      <c r="X14" s="537">
        <f ca="1">+((W14*(1-0.34))-Pfd_weighted)/Equity_percent</f>
        <v>0.26871001524577509</v>
      </c>
      <c r="Y14" s="537">
        <f ca="1">+X14*equityP</f>
        <v>0.16122600914746504</v>
      </c>
      <c r="Z14" s="537">
        <f ca="1">+Y14/(1-taxrate)</f>
        <v>0.20408355588286714</v>
      </c>
      <c r="AA14" s="537">
        <f>debtP*Debt_Rate</f>
        <v>2.0000000000000004E-2</v>
      </c>
      <c r="AB14" s="537">
        <f ca="1">+AA14+Z14</f>
        <v>0.22408355588286716</v>
      </c>
      <c r="AC14" s="537">
        <f ca="1">+AB14/(S14/100)</f>
        <v>6.8356338997118085E-2</v>
      </c>
      <c r="AD14" s="537">
        <f ca="1">1-AC14</f>
        <v>0.93164366100288187</v>
      </c>
      <c r="AE14" s="534">
        <f ca="1">expenses/(AD14)</f>
        <v>477105.34839974978</v>
      </c>
      <c r="AF14" s="536">
        <f ca="1">+AE14-Revenue</f>
        <v>-64110.265391146473</v>
      </c>
      <c r="AG14" s="535">
        <f ca="1">+AF14/$J$49</f>
        <v>-70571.023622744353</v>
      </c>
      <c r="AH14" s="535">
        <f ca="1">+AG14*$J$47</f>
        <v>-1594.9051338740226</v>
      </c>
      <c r="AI14" s="534">
        <f ca="1">ROUND(+AH14+AE14,5)</f>
        <v>475510.44326999999</v>
      </c>
    </row>
    <row r="15" spans="1:35" ht="16.5" thickTop="1">
      <c r="A15" s="468"/>
      <c r="B15" s="782"/>
      <c r="C15" s="782"/>
      <c r="D15" s="468"/>
      <c r="E15" s="468"/>
      <c r="F15" s="505">
        <f t="shared" si="0"/>
        <v>9</v>
      </c>
      <c r="G15" s="506"/>
      <c r="H15" s="506"/>
      <c r="I15" s="506"/>
      <c r="J15" s="506"/>
      <c r="K15" s="575"/>
      <c r="L15" s="506"/>
      <c r="M15" s="506"/>
      <c r="O15" s="572"/>
      <c r="P15" s="468"/>
      <c r="R15" s="450" t="s">
        <v>1217</v>
      </c>
    </row>
    <row r="16" spans="1:35" ht="15.75">
      <c r="A16" s="468"/>
      <c r="B16" s="752" t="s">
        <v>1216</v>
      </c>
      <c r="C16" s="780"/>
      <c r="D16" s="780"/>
      <c r="E16" s="468"/>
      <c r="F16" s="505">
        <f t="shared" si="0"/>
        <v>10</v>
      </c>
      <c r="G16" s="506"/>
      <c r="H16" s="554" t="s">
        <v>1215</v>
      </c>
      <c r="I16" s="556">
        <f>+I8/I7</f>
        <v>0.82128483018771903</v>
      </c>
      <c r="J16" s="574"/>
      <c r="K16" s="556">
        <f ca="1">+K8/K7</f>
        <v>0.93128</v>
      </c>
      <c r="L16" s="573"/>
      <c r="M16" s="556">
        <f ca="1">+M8/M7</f>
        <v>0.93105026896399379</v>
      </c>
      <c r="O16" s="572"/>
      <c r="P16" s="468"/>
      <c r="R16" s="585">
        <v>1</v>
      </c>
      <c r="S16" s="584">
        <f ca="1">AI11/Investment*100</f>
        <v>329.85908453697783</v>
      </c>
      <c r="T16" s="583">
        <f ca="1">EXP(y_inter1-(slope*LN(+S16)))</f>
        <v>5.8021371608006751</v>
      </c>
      <c r="U16" s="582">
        <f ca="1">(+S16*T16/100)/100</f>
        <v>0.19138876522196901</v>
      </c>
      <c r="V16" s="582">
        <f>regDebt_weighted</f>
        <v>3.5860000000000003E-2</v>
      </c>
      <c r="W16" s="582">
        <f ca="1">+U16-V16</f>
        <v>0.15552876522196901</v>
      </c>
      <c r="X16" s="582">
        <f ca="1">+((W16*(1-0.34))-Pfd_weighted)/Equity_percent</f>
        <v>0.28040402629796379</v>
      </c>
      <c r="Y16" s="582">
        <f ca="1">+X16*equityP</f>
        <v>0.16824241577877827</v>
      </c>
      <c r="Z16" s="582">
        <f ca="1">+Y16/(1-taxrate)</f>
        <v>0.21296508326427629</v>
      </c>
      <c r="AA16" s="582">
        <f>debtP*Debt_Rate</f>
        <v>2.0000000000000004E-2</v>
      </c>
      <c r="AB16" s="582">
        <f ca="1">+AA16+Z16</f>
        <v>0.23296508326427628</v>
      </c>
      <c r="AC16" s="582">
        <f ca="1">+AB16/(S16/100)</f>
        <v>7.0625638093699511E-2</v>
      </c>
      <c r="AD16" s="582">
        <f ca="1">1-AC16</f>
        <v>0.92937436190630052</v>
      </c>
      <c r="AE16" s="579">
        <f ca="1">expenses/(AD16)</f>
        <v>478270.31999836036</v>
      </c>
      <c r="AF16" s="581">
        <f ca="1">+AE16-Revenue</f>
        <v>-62945.2937925359</v>
      </c>
      <c r="AG16" s="580">
        <f ca="1">+AF16/$J$49</f>
        <v>-69288.651171097532</v>
      </c>
      <c r="AH16" s="580">
        <f ca="1">+AG16*$J$47</f>
        <v>-1565.9235164668044</v>
      </c>
      <c r="AI16" s="579">
        <f ca="1">ROUND(+AH16+AE16,5)</f>
        <v>476704.39648</v>
      </c>
    </row>
    <row r="17" spans="1:35" ht="15.75">
      <c r="A17" s="468"/>
      <c r="B17" s="779"/>
      <c r="C17" s="780"/>
      <c r="D17" s="468" t="s">
        <v>1214</v>
      </c>
      <c r="E17" s="468"/>
      <c r="F17" s="505">
        <f t="shared" si="0"/>
        <v>11</v>
      </c>
      <c r="G17" s="506"/>
      <c r="H17" s="506"/>
      <c r="I17" s="506"/>
      <c r="K17" s="506"/>
      <c r="L17" s="554"/>
      <c r="M17" s="554"/>
      <c r="N17" s="556"/>
      <c r="O17" s="468"/>
      <c r="P17" s="468"/>
      <c r="R17" s="544">
        <v>2</v>
      </c>
      <c r="S17" s="539">
        <f ca="1">AI12/Investment*100</f>
        <v>329.41865792017552</v>
      </c>
      <c r="T17" s="543">
        <f ca="1">EXP(y_inter2-(slope*LN(+S17)))</f>
        <v>5.7248123365415147</v>
      </c>
      <c r="U17" s="537">
        <f ca="1">(+S17*T17/100)/100</f>
        <v>0.188585999674837</v>
      </c>
      <c r="V17" s="537">
        <f>regDebt_weighted</f>
        <v>3.5860000000000003E-2</v>
      </c>
      <c r="W17" s="537">
        <f ca="1">+U17-V17</f>
        <v>0.15272599967483699</v>
      </c>
      <c r="X17" s="537">
        <f ca="1">+((W17*(1-0.34))-Pfd_weighted)/Equity_percent</f>
        <v>0.2750266272831175</v>
      </c>
      <c r="Y17" s="537">
        <f ca="1">+X17*equityP</f>
        <v>0.1650159763698705</v>
      </c>
      <c r="Z17" s="537">
        <f ca="1">+Y17/(1-taxrate)</f>
        <v>0.20888098274667152</v>
      </c>
      <c r="AA17" s="537">
        <f>debtP*Debt_Rate</f>
        <v>2.0000000000000004E-2</v>
      </c>
      <c r="AB17" s="537">
        <f ca="1">+AA17+Z17</f>
        <v>0.22888098274667151</v>
      </c>
      <c r="AC17" s="537">
        <f ca="1">+AB17/(S17/100)</f>
        <v>6.9480272972921212E-2</v>
      </c>
      <c r="AD17" s="537">
        <f ca="1">1-AC17</f>
        <v>0.93051972702707875</v>
      </c>
      <c r="AE17" s="534">
        <f ca="1">expenses/(AD17)</f>
        <v>477681.62302943127</v>
      </c>
      <c r="AF17" s="536">
        <f ca="1">+AE17-Revenue</f>
        <v>-63533.990761464986</v>
      </c>
      <c r="AG17" s="535">
        <f ca="1">+AF17/$J$49</f>
        <v>-69936.674501643123</v>
      </c>
      <c r="AH17" s="535">
        <f ca="1">+AG17*$J$47</f>
        <v>-1580.5688437371348</v>
      </c>
      <c r="AI17" s="534">
        <f ca="1">ROUND(+AH17+AE17,5)</f>
        <v>476101.05419</v>
      </c>
    </row>
    <row r="18" spans="1:35" ht="15.75">
      <c r="A18" s="468"/>
      <c r="B18" s="781" t="s">
        <v>1213</v>
      </c>
      <c r="C18" s="781"/>
      <c r="D18" s="468"/>
      <c r="E18" s="468"/>
      <c r="F18" s="505">
        <f t="shared" si="0"/>
        <v>12</v>
      </c>
      <c r="G18" s="506"/>
      <c r="H18" s="751" t="s">
        <v>143</v>
      </c>
      <c r="I18" s="736"/>
      <c r="J18" s="736"/>
      <c r="K18" s="736"/>
      <c r="L18" s="736"/>
      <c r="M18" s="735"/>
      <c r="O18" s="468"/>
      <c r="P18" s="468"/>
      <c r="R18" s="512">
        <v>3</v>
      </c>
      <c r="S18" s="539">
        <f ca="1">AI13/Investment*100</f>
        <v>329.12262319332382</v>
      </c>
      <c r="T18" s="540">
        <f ca="1">EXP(y_inter3-(slope*LN(S18)))</f>
        <v>5.6726389402839761</v>
      </c>
      <c r="U18" s="537">
        <f ca="1">(+S18*T18/100)/100</f>
        <v>0.18669938084548587</v>
      </c>
      <c r="V18" s="537">
        <f>regDebt_weighted</f>
        <v>3.5860000000000003E-2</v>
      </c>
      <c r="W18" s="537">
        <f ca="1">+U18-V18</f>
        <v>0.15083938084548587</v>
      </c>
      <c r="X18" s="537">
        <f ca="1">+((W18*(1-0.34))-Pfd_weighted)/Equity_percent</f>
        <v>0.27140695162215311</v>
      </c>
      <c r="Y18" s="537">
        <f ca="1">+X18*equityP</f>
        <v>0.16284417097329187</v>
      </c>
      <c r="Z18" s="537">
        <f ca="1">+Y18/(1-taxrate)</f>
        <v>0.20613186199150868</v>
      </c>
      <c r="AA18" s="537">
        <f>debtP*Debt_Rate</f>
        <v>2.0000000000000004E-2</v>
      </c>
      <c r="AB18" s="537">
        <f ca="1">+AA18+Z18</f>
        <v>0.2261318619915087</v>
      </c>
      <c r="AC18" s="537">
        <f ca="1">+AB18/(S18/100)</f>
        <v>6.8707480451345559E-2</v>
      </c>
      <c r="AD18" s="537">
        <f ca="1">1-AC18</f>
        <v>0.93129251954865444</v>
      </c>
      <c r="AE18" s="534">
        <f ca="1">expenses/(AD18)</f>
        <v>477285.23974681867</v>
      </c>
      <c r="AF18" s="536">
        <f ca="1">+AE18-Revenue</f>
        <v>-63930.374044077587</v>
      </c>
      <c r="AG18" s="535">
        <f ca="1">+AF18/$J$49</f>
        <v>-70373.003595435614</v>
      </c>
      <c r="AH18" s="535">
        <f ca="1">+AG18*$J$47</f>
        <v>-1590.429881256845</v>
      </c>
      <c r="AI18" s="534">
        <f ca="1">ROUND(+AH18+AE18,5)</f>
        <v>475694.80987</v>
      </c>
    </row>
    <row r="19" spans="1:35" ht="15.75">
      <c r="A19" s="468"/>
      <c r="B19" s="468"/>
      <c r="C19" s="468"/>
      <c r="D19" s="468"/>
      <c r="E19" s="468"/>
      <c r="F19" s="505">
        <f t="shared" si="0"/>
        <v>13</v>
      </c>
      <c r="G19" s="506"/>
      <c r="H19" s="504"/>
      <c r="I19" s="570" t="s">
        <v>1212</v>
      </c>
      <c r="J19" s="507">
        <f>+Revenue</f>
        <v>541215.61379089626</v>
      </c>
      <c r="K19" s="571"/>
      <c r="L19" s="570" t="s">
        <v>1211</v>
      </c>
      <c r="M19" s="569">
        <f ca="1">+J7</f>
        <v>-63923.957718395686</v>
      </c>
      <c r="O19" s="468"/>
      <c r="P19" s="468"/>
      <c r="R19" s="518">
        <v>4</v>
      </c>
      <c r="S19" s="539">
        <f ca="1">AI14/Investment*100</f>
        <v>328.93353010770903</v>
      </c>
      <c r="T19" s="538">
        <f ca="1">EXP(y_inter4-(slope*LN(S19)))</f>
        <v>5.6392289069758128</v>
      </c>
      <c r="U19" s="537">
        <f ca="1">(+S19*T19/100)/100</f>
        <v>0.18549314714569917</v>
      </c>
      <c r="V19" s="537">
        <f>regDebt_weighted</f>
        <v>3.5860000000000003E-2</v>
      </c>
      <c r="W19" s="537">
        <f ca="1">+U19-V19</f>
        <v>0.14963314714569917</v>
      </c>
      <c r="X19" s="537">
        <f ca="1">+((W19*(1-0.34))-Pfd_weighted)/Equity_percent</f>
        <v>0.26909266603535303</v>
      </c>
      <c r="Y19" s="537">
        <f ca="1">+X19*equityP</f>
        <v>0.16145559962121181</v>
      </c>
      <c r="Z19" s="537">
        <f ca="1">+Y19/(1-taxrate)</f>
        <v>0.20437417673571115</v>
      </c>
      <c r="AA19" s="537">
        <f>debtP*Debt_Rate</f>
        <v>2.0000000000000004E-2</v>
      </c>
      <c r="AB19" s="537">
        <f ca="1">+AA19+Z19</f>
        <v>0.22437417673571114</v>
      </c>
      <c r="AC19" s="537">
        <f ca="1">+AB19/(S19/100)</f>
        <v>6.8212619328360952E-2</v>
      </c>
      <c r="AD19" s="537">
        <f ca="1">1-AC19</f>
        <v>0.93178738067163902</v>
      </c>
      <c r="AE19" s="534">
        <f ca="1">expenses/(AD19)</f>
        <v>477031.75926980807</v>
      </c>
      <c r="AF19" s="536">
        <f ca="1">+AE19-Revenue</f>
        <v>-64183.854521088186</v>
      </c>
      <c r="AG19" s="535">
        <f ca="1">+AF19/$J$49</f>
        <v>-70652.028750328973</v>
      </c>
      <c r="AH19" s="535">
        <f ca="1">+AG19*$J$47</f>
        <v>-1596.7358497574348</v>
      </c>
      <c r="AI19" s="534">
        <f ca="1">ROUND(+AH19+AE19,5)</f>
        <v>475435.02341999998</v>
      </c>
    </row>
    <row r="20" spans="1:35" ht="15.75">
      <c r="A20" s="468"/>
      <c r="B20" s="568"/>
      <c r="C20" s="468"/>
      <c r="D20" s="468"/>
      <c r="E20" s="468"/>
      <c r="F20" s="505">
        <f t="shared" si="0"/>
        <v>14</v>
      </c>
      <c r="G20" s="506"/>
      <c r="H20" s="504"/>
      <c r="I20" s="570" t="s">
        <v>1207</v>
      </c>
      <c r="J20" s="507">
        <f ca="1">+J21-J19</f>
        <v>-65514.227977309551</v>
      </c>
      <c r="K20" s="571"/>
      <c r="L20" s="570" t="s">
        <v>1210</v>
      </c>
      <c r="M20" s="569">
        <f ca="1">+L8</f>
        <v>-1590.2702589138571</v>
      </c>
      <c r="O20" s="468"/>
      <c r="P20" s="468"/>
      <c r="R20" s="450" t="s">
        <v>1209</v>
      </c>
    </row>
    <row r="21" spans="1:35" ht="16.5" thickBot="1">
      <c r="A21" s="468"/>
      <c r="B21" s="568" t="s">
        <v>1208</v>
      </c>
      <c r="C21" s="468"/>
      <c r="D21" s="468"/>
      <c r="E21" s="468"/>
      <c r="F21" s="505">
        <f t="shared" si="0"/>
        <v>15</v>
      </c>
      <c r="G21" s="506"/>
      <c r="H21" s="504"/>
      <c r="I21" s="566" t="s">
        <v>143</v>
      </c>
      <c r="J21" s="567">
        <f ca="1">+M7</f>
        <v>475701.3858135867</v>
      </c>
      <c r="K21" s="463"/>
      <c r="L21" s="566" t="s">
        <v>1207</v>
      </c>
      <c r="M21" s="565">
        <f ca="1">+M19+M20</f>
        <v>-65514.227977309543</v>
      </c>
      <c r="O21" s="468"/>
      <c r="P21" s="468"/>
      <c r="R21" s="585">
        <v>1</v>
      </c>
      <c r="S21" s="584">
        <f ca="1">AI16/Investment*100</f>
        <v>329.75944518424865</v>
      </c>
      <c r="T21" s="583">
        <f ca="1">EXP(y_inter1-(slope*LN(+S21)))</f>
        <v>5.8033356866776629</v>
      </c>
      <c r="U21" s="582">
        <f ca="1">(+S21*T21/100)/100</f>
        <v>0.19137047562567769</v>
      </c>
      <c r="V21" s="582">
        <f>regDebt_weighted</f>
        <v>3.5860000000000003E-2</v>
      </c>
      <c r="W21" s="582">
        <f ca="1">+U21-V21</f>
        <v>0.15551047562567769</v>
      </c>
      <c r="X21" s="582">
        <f ca="1">+((W21*(1-0.34))-Pfd_weighted)/Equity_percent</f>
        <v>0.28036893579345135</v>
      </c>
      <c r="Y21" s="582">
        <f ca="1">+X21*equityP</f>
        <v>0.16822136147607081</v>
      </c>
      <c r="Z21" s="582">
        <f ca="1">+Y21/(1-taxrate)</f>
        <v>0.2129384322481909</v>
      </c>
      <c r="AA21" s="582">
        <f>debtP*Debt_Rate</f>
        <v>2.0000000000000004E-2</v>
      </c>
      <c r="AB21" s="582">
        <f ca="1">+AA21+Z21</f>
        <v>0.23293843224819089</v>
      </c>
      <c r="AC21" s="582">
        <f ca="1">+AB21/(S21/100)</f>
        <v>7.0638896216616232E-2</v>
      </c>
      <c r="AD21" s="582">
        <f ca="1">1-AC21</f>
        <v>0.92936110378338377</v>
      </c>
      <c r="AE21" s="579">
        <f ca="1">expenses/(AD21)</f>
        <v>478277.14292936551</v>
      </c>
      <c r="AF21" s="581">
        <f ca="1">+AE21-Revenue</f>
        <v>-62938.470861530746</v>
      </c>
      <c r="AG21" s="580">
        <f ca="1">+AF21/$J$49</f>
        <v>-69281.140654299583</v>
      </c>
      <c r="AH21" s="580">
        <f ca="1">+AG21*$J$47</f>
        <v>-1565.7537787871706</v>
      </c>
      <c r="AI21" s="579">
        <f ca="1">ROUND(+AH21+AE21,5)</f>
        <v>476711.38915</v>
      </c>
    </row>
    <row r="22" spans="1:35" ht="16.5" thickTop="1">
      <c r="A22" s="468"/>
      <c r="B22" s="468" t="s">
        <v>1206</v>
      </c>
      <c r="C22" s="468"/>
      <c r="D22" s="468"/>
      <c r="E22" s="468"/>
      <c r="F22" s="505">
        <f t="shared" si="0"/>
        <v>16</v>
      </c>
      <c r="G22" s="506"/>
      <c r="H22" s="460"/>
      <c r="I22" s="516"/>
      <c r="J22" s="750" t="s">
        <v>1479</v>
      </c>
      <c r="K22" s="749">
        <f ca="1">+(J21/J19)-1</f>
        <v>-0.12105014398683178</v>
      </c>
      <c r="L22" s="516"/>
      <c r="M22" s="515"/>
      <c r="O22" s="468"/>
      <c r="P22" s="468"/>
      <c r="R22" s="544">
        <v>2</v>
      </c>
      <c r="S22" s="539">
        <f ca="1">AI17/Investment*100</f>
        <v>329.34208419434441</v>
      </c>
      <c r="T22" s="543">
        <f ca="1">EXP(y_inter2-(slope*LN(+S22)))</f>
        <v>5.7257223008489522</v>
      </c>
      <c r="U22" s="537">
        <f ca="1">(+S22*T22/100)/100</f>
        <v>0.1885721316079631</v>
      </c>
      <c r="V22" s="537">
        <f>regDebt_weighted</f>
        <v>3.5860000000000003E-2</v>
      </c>
      <c r="W22" s="537">
        <f ca="1">+U22-V22</f>
        <v>0.1527121316079631</v>
      </c>
      <c r="X22" s="537">
        <f ca="1">+((W22*(1-0.34))-Pfd_weighted)/Equity_percent</f>
        <v>0.2750000199455106</v>
      </c>
      <c r="Y22" s="537">
        <f ca="1">+X22*equityP</f>
        <v>0.16500001196730635</v>
      </c>
      <c r="Z22" s="537">
        <f ca="1">+Y22/(1-taxrate)</f>
        <v>0.20886077464215994</v>
      </c>
      <c r="AA22" s="537">
        <f>debtP*Debt_Rate</f>
        <v>2.0000000000000004E-2</v>
      </c>
      <c r="AB22" s="537">
        <f ca="1">+AA22+Z22</f>
        <v>0.22886077464215993</v>
      </c>
      <c r="AC22" s="537">
        <f ca="1">+AB22/(S22/100)</f>
        <v>6.9490291592103196E-2</v>
      </c>
      <c r="AD22" s="537">
        <f ca="1">1-AC22</f>
        <v>0.93050970840789682</v>
      </c>
      <c r="AE22" s="534">
        <f ca="1">expenses/(AD22)</f>
        <v>477686.76613565371</v>
      </c>
      <c r="AF22" s="536">
        <f ca="1">+AE22-Revenue</f>
        <v>-63528.847655242542</v>
      </c>
      <c r="AG22" s="535">
        <f ca="1">+AF22/$J$49</f>
        <v>-69931.013095181872</v>
      </c>
      <c r="AH22" s="535">
        <f ca="1">+AG22*$J$47</f>
        <v>-1580.4408959511104</v>
      </c>
      <c r="AI22" s="534">
        <f ca="1">ROUND(+AH22+AE22,5)</f>
        <v>476106.32523999998</v>
      </c>
    </row>
    <row r="23" spans="1:35" ht="15.75">
      <c r="A23" s="468"/>
      <c r="B23" s="468" t="s">
        <v>1205</v>
      </c>
      <c r="C23" s="468"/>
      <c r="D23" s="468"/>
      <c r="E23" s="468"/>
      <c r="F23" s="505">
        <f t="shared" si="0"/>
        <v>17</v>
      </c>
      <c r="H23" s="506"/>
      <c r="I23" s="506"/>
      <c r="J23" s="506"/>
      <c r="K23" s="506"/>
      <c r="L23" s="506"/>
      <c r="M23" s="506"/>
      <c r="N23" s="506"/>
      <c r="O23" s="468"/>
      <c r="P23" s="468"/>
      <c r="R23" s="512">
        <v>3</v>
      </c>
      <c r="S23" s="539">
        <f ca="1">AI18/Investment*100</f>
        <v>329.06106538570401</v>
      </c>
      <c r="T23" s="540">
        <f ca="1">EXP(y_inter3-(slope*LN(S23)))</f>
        <v>5.6733644203109961</v>
      </c>
      <c r="U23" s="537">
        <f ca="1">(+S23*T23/100)/100</f>
        <v>0.18668833404688837</v>
      </c>
      <c r="V23" s="537">
        <f>regDebt_weighted</f>
        <v>3.5860000000000003E-2</v>
      </c>
      <c r="W23" s="537">
        <f ca="1">+U23-V23</f>
        <v>0.15082833404688836</v>
      </c>
      <c r="X23" s="537">
        <f ca="1">+((W23*(1-0.34))-Pfd_weighted)/Equity_percent</f>
        <v>0.27138575718298347</v>
      </c>
      <c r="Y23" s="537">
        <f ca="1">+X23*equityP</f>
        <v>0.16283145430979007</v>
      </c>
      <c r="Z23" s="537">
        <f ca="1">+Y23/(1-taxrate)</f>
        <v>0.20611576494910133</v>
      </c>
      <c r="AA23" s="537">
        <f>debtP*Debt_Rate</f>
        <v>2.0000000000000004E-2</v>
      </c>
      <c r="AB23" s="537">
        <f ca="1">+AA23+Z23</f>
        <v>0.22611576494910135</v>
      </c>
      <c r="AC23" s="537">
        <f ca="1">+AB23/(S23/100)</f>
        <v>6.8715441823560361E-2</v>
      </c>
      <c r="AD23" s="537">
        <f ca="1">1-AC23</f>
        <v>0.93128455817643963</v>
      </c>
      <c r="AE23" s="534">
        <f ca="1">expenses/(AD23)</f>
        <v>477289.31996635295</v>
      </c>
      <c r="AF23" s="536">
        <f ca="1">+AE23-Revenue</f>
        <v>-63926.293824543303</v>
      </c>
      <c r="AG23" s="535">
        <f ca="1">+AF23/$J$49</f>
        <v>-70368.51218883507</v>
      </c>
      <c r="AH23" s="535">
        <f ca="1">+AG23*$J$47</f>
        <v>-1590.3283754676727</v>
      </c>
      <c r="AI23" s="534">
        <f ca="1">ROUND(+AH23+AE23,5)</f>
        <v>475698.99158999999</v>
      </c>
    </row>
    <row r="24" spans="1:35" ht="15.75">
      <c r="A24" s="468"/>
      <c r="B24" s="468" t="s">
        <v>1204</v>
      </c>
      <c r="C24" s="468"/>
      <c r="D24" s="468"/>
      <c r="E24" s="468"/>
      <c r="F24" s="505">
        <f t="shared" si="0"/>
        <v>18</v>
      </c>
      <c r="H24" s="501"/>
      <c r="J24" s="564" t="s">
        <v>1203</v>
      </c>
      <c r="K24" s="563" t="s">
        <v>1202</v>
      </c>
      <c r="L24" s="563"/>
      <c r="M24" s="563"/>
      <c r="N24" s="563"/>
      <c r="O24" s="468"/>
      <c r="P24" s="468"/>
      <c r="R24" s="518">
        <v>4</v>
      </c>
      <c r="S24" s="539">
        <f ca="1">AI19/Investment*100</f>
        <v>328.88135855637546</v>
      </c>
      <c r="T24" s="538">
        <f ca="1">EXP(y_inter4-(slope*LN(S24)))</f>
        <v>5.6398404821447539</v>
      </c>
      <c r="U24" s="537">
        <f ca="1">(+S24*T24/100)/100</f>
        <v>0.18548383998090101</v>
      </c>
      <c r="V24" s="537">
        <f>regDebt_weighted</f>
        <v>3.5860000000000003E-2</v>
      </c>
      <c r="W24" s="537">
        <f ca="1">+U24-V24</f>
        <v>0.14962383998090101</v>
      </c>
      <c r="X24" s="537">
        <f ca="1">+((W24*(1-0.34))-Pfd_weighted)/Equity_percent</f>
        <v>0.26907480926568217</v>
      </c>
      <c r="Y24" s="537">
        <f ca="1">+X24*equityP</f>
        <v>0.16144488555940931</v>
      </c>
      <c r="Z24" s="537">
        <f ca="1">+Y24/(1-taxrate)</f>
        <v>0.20436061463216368</v>
      </c>
      <c r="AA24" s="537">
        <f>debtP*Debt_Rate</f>
        <v>2.0000000000000004E-2</v>
      </c>
      <c r="AB24" s="537">
        <f ca="1">+AA24+Z24</f>
        <v>0.22436061463216367</v>
      </c>
      <c r="AC24" s="537">
        <f ca="1">+AB24/(S24/100)</f>
        <v>6.8219316417626852E-2</v>
      </c>
      <c r="AD24" s="537">
        <f ca="1">1-AC24</f>
        <v>0.9317806835823732</v>
      </c>
      <c r="AE24" s="534">
        <f ca="1">expenses/(AD24)</f>
        <v>477035.18789236998</v>
      </c>
      <c r="AF24" s="536">
        <f ca="1">+AE24-Revenue</f>
        <v>-64180.425898526271</v>
      </c>
      <c r="AG24" s="535">
        <f ca="1">+AF24/$J$49</f>
        <v>-70648.254605855633</v>
      </c>
      <c r="AH24" s="535">
        <f ca="1">+AG24*$J$47</f>
        <v>-1596.6505540923374</v>
      </c>
      <c r="AI24" s="534">
        <f ca="1">ROUND(+AH24+AE24,5)</f>
        <v>475438.53733999998</v>
      </c>
    </row>
    <row r="25" spans="1:35" ht="15.75">
      <c r="A25" s="468"/>
      <c r="B25" s="468" t="s">
        <v>1201</v>
      </c>
      <c r="C25" s="468"/>
      <c r="D25" s="468"/>
      <c r="E25" s="468"/>
      <c r="F25" s="505">
        <f t="shared" si="0"/>
        <v>19</v>
      </c>
      <c r="H25" s="561" t="s">
        <v>1200</v>
      </c>
      <c r="I25" s="562" t="s">
        <v>451</v>
      </c>
      <c r="J25" s="560" t="s">
        <v>107</v>
      </c>
      <c r="K25" s="561" t="s">
        <v>1199</v>
      </c>
      <c r="L25" s="560" t="s">
        <v>1183</v>
      </c>
      <c r="M25" s="560" t="s">
        <v>107</v>
      </c>
      <c r="O25" s="468"/>
      <c r="P25" s="468"/>
      <c r="R25" s="450" t="s">
        <v>1198</v>
      </c>
      <c r="W25" s="456"/>
      <c r="X25" s="454"/>
      <c r="Y25" s="453"/>
      <c r="Z25" s="453"/>
      <c r="AA25" s="454"/>
      <c r="AC25" s="454"/>
      <c r="AD25" s="454"/>
      <c r="AE25" s="453"/>
      <c r="AF25" s="456"/>
    </row>
    <row r="26" spans="1:35" ht="15.75">
      <c r="A26" s="468"/>
      <c r="B26" s="468"/>
      <c r="C26" s="468"/>
      <c r="D26" s="468"/>
      <c r="E26" s="468"/>
      <c r="F26" s="505">
        <f t="shared" si="0"/>
        <v>20</v>
      </c>
      <c r="H26" s="554" t="s">
        <v>1176</v>
      </c>
      <c r="I26" s="555">
        <f>1-I27</f>
        <v>0.6</v>
      </c>
      <c r="J26" s="559">
        <f>+I26*J28</f>
        <v>86736.753735192848</v>
      </c>
      <c r="K26" s="556">
        <f ca="1">+K34</f>
        <v>0.27240497704079958</v>
      </c>
      <c r="L26" s="555">
        <f ca="1">+K26*I26</f>
        <v>0.16344298622447975</v>
      </c>
      <c r="M26" s="558">
        <f ca="1">+J26*K26</f>
        <v>23627.523409828696</v>
      </c>
      <c r="O26" s="468"/>
      <c r="P26" s="468"/>
      <c r="R26" s="585">
        <v>1</v>
      </c>
      <c r="S26" s="584">
        <f ca="1">AI21/Investment*100</f>
        <v>329.76428235167691</v>
      </c>
      <c r="T26" s="583">
        <f ca="1">EXP(y_inter1-(slope*LN(+S26)))</f>
        <v>5.803277488052041</v>
      </c>
      <c r="U26" s="582">
        <f ca="1">(+S26*T26/100)/100</f>
        <v>0.19137136361351234</v>
      </c>
      <c r="V26" s="582">
        <f>regDebt_weighted</f>
        <v>3.5860000000000003E-2</v>
      </c>
      <c r="W26" s="582">
        <f ca="1">+U26-V26</f>
        <v>0.15551136361351234</v>
      </c>
      <c r="X26" s="582">
        <f ca="1">+((W26*(1-0.34))-Pfd_weighted)/Equity_percent</f>
        <v>0.28037063949104107</v>
      </c>
      <c r="Y26" s="582">
        <f ca="1">+X26*equityP</f>
        <v>0.16822238369462464</v>
      </c>
      <c r="Z26" s="582">
        <f ca="1">+Y26/(1-taxrate)</f>
        <v>0.21293972619572737</v>
      </c>
      <c r="AA26" s="582">
        <f>debtP*Debt_Rate</f>
        <v>2.0000000000000004E-2</v>
      </c>
      <c r="AB26" s="582">
        <f ca="1">+AA26+Z26</f>
        <v>0.23293972619572739</v>
      </c>
      <c r="AC26" s="582">
        <f ca="1">+AB26/(S26/100)</f>
        <v>7.0638252431265119E-2</v>
      </c>
      <c r="AD26" s="582">
        <f ca="1">1-AC26</f>
        <v>0.92936174756873491</v>
      </c>
      <c r="AE26" s="579">
        <f ca="1">expenses/(AD26)</f>
        <v>478276.81161831337</v>
      </c>
      <c r="AF26" s="581">
        <f ca="1">+AE26-Revenue</f>
        <v>-62938.802172582888</v>
      </c>
      <c r="AG26" s="580">
        <f ca="1">+AF26/$J$49</f>
        <v>-69281.505353461951</v>
      </c>
      <c r="AH26" s="580">
        <f ca="1">+AG26*$J$47</f>
        <v>-1565.7620209882402</v>
      </c>
      <c r="AI26" s="579">
        <f ca="1">ROUND(+AH26+AE26,5)</f>
        <v>476711.04960000003</v>
      </c>
    </row>
    <row r="27" spans="1:35" ht="15.75">
      <c r="A27" s="468"/>
      <c r="B27" s="468"/>
      <c r="C27" s="468"/>
      <c r="D27" s="468"/>
      <c r="E27" s="468"/>
      <c r="F27" s="505">
        <f t="shared" si="0"/>
        <v>21</v>
      </c>
      <c r="H27" s="554" t="s">
        <v>1180</v>
      </c>
      <c r="I27" s="555">
        <f>IF(A65=TRUE,C8,0)</f>
        <v>0.4</v>
      </c>
      <c r="J27" s="557">
        <f>+I27*J28</f>
        <v>57824.502490128565</v>
      </c>
      <c r="K27" s="556">
        <f>IF(A65=TRUE,C9,0)</f>
        <v>0.05</v>
      </c>
      <c r="L27" s="555">
        <f>+K27*I27</f>
        <v>2.0000000000000004E-2</v>
      </c>
      <c r="M27" s="507">
        <f>+K27*J27</f>
        <v>2891.2251245064285</v>
      </c>
      <c r="O27" s="468"/>
      <c r="P27" s="468"/>
      <c r="R27" s="544">
        <v>2</v>
      </c>
      <c r="S27" s="539">
        <f ca="1">AI22/Investment*100</f>
        <v>329.34573043410296</v>
      </c>
      <c r="T27" s="543">
        <f ca="1">EXP(y_inter2-(slope*LN(+S27)))</f>
        <v>5.7256789626609779</v>
      </c>
      <c r="U27" s="537">
        <f ca="1">(+S27*T27/100)/100</f>
        <v>0.18857279201887567</v>
      </c>
      <c r="V27" s="537">
        <f>regDebt_weighted</f>
        <v>3.5860000000000003E-2</v>
      </c>
      <c r="W27" s="537">
        <f ca="1">+U27-V27</f>
        <v>0.15271279201887566</v>
      </c>
      <c r="X27" s="537">
        <f ca="1">+((W27*(1-0.34))-Pfd_weighted)/Equity_percent</f>
        <v>0.27500128701295912</v>
      </c>
      <c r="Y27" s="537">
        <f ca="1">+X27*equityP</f>
        <v>0.16500077220777545</v>
      </c>
      <c r="Z27" s="537">
        <f ca="1">+Y27/(1-taxrate)</f>
        <v>0.20886173697186766</v>
      </c>
      <c r="AA27" s="537">
        <f>debtP*Debt_Rate</f>
        <v>2.0000000000000004E-2</v>
      </c>
      <c r="AB27" s="537">
        <f ca="1">+AA27+Z27</f>
        <v>0.22886173697186768</v>
      </c>
      <c r="AC27" s="537">
        <f ca="1">+AB27/(S27/100)</f>
        <v>6.9489814448242676E-2</v>
      </c>
      <c r="AD27" s="537">
        <f ca="1">1-AC27</f>
        <v>0.93051018555175735</v>
      </c>
      <c r="AE27" s="534">
        <f ca="1">expenses/(AD27)</f>
        <v>477686.52118905209</v>
      </c>
      <c r="AF27" s="536">
        <f ca="1">+AE27-Revenue</f>
        <v>-63529.092601844168</v>
      </c>
      <c r="AG27" s="535">
        <f ca="1">+AF27/$J$49</f>
        <v>-69931.282726453923</v>
      </c>
      <c r="AH27" s="535">
        <f ca="1">+AG27*$J$47</f>
        <v>-1580.4469896178589</v>
      </c>
      <c r="AI27" s="534">
        <f ca="1">ROUND(+AH27+AE27,5)</f>
        <v>476106.07419999997</v>
      </c>
    </row>
    <row r="28" spans="1:35" ht="16.5" thickBot="1">
      <c r="A28" s="468"/>
      <c r="B28" s="468"/>
      <c r="C28" s="468"/>
      <c r="D28" s="468"/>
      <c r="E28" s="468"/>
      <c r="F28" s="505">
        <f t="shared" si="0"/>
        <v>22</v>
      </c>
      <c r="H28" s="554" t="s">
        <v>2</v>
      </c>
      <c r="I28" s="553">
        <f>SUM(I26:I27)</f>
        <v>1</v>
      </c>
      <c r="J28" s="513">
        <f>IF(A65=TRUE,C7,0)</f>
        <v>144561.25622532141</v>
      </c>
      <c r="K28" s="552"/>
      <c r="L28" s="551">
        <f ca="1">SUM(L26:L27)</f>
        <v>0.18344298622447974</v>
      </c>
      <c r="M28" s="513">
        <f ca="1">SUM(M26:M27)</f>
        <v>26518.748534335125</v>
      </c>
      <c r="O28" s="468"/>
      <c r="P28" s="468"/>
      <c r="R28" s="512">
        <v>3</v>
      </c>
      <c r="S28" s="539">
        <f ca="1">AI23/Investment*100</f>
        <v>329.06395808331138</v>
      </c>
      <c r="T28" s="540">
        <f ca="1">EXP(y_inter3-(slope*LN(S28)))</f>
        <v>5.6733303237540085</v>
      </c>
      <c r="U28" s="537">
        <f ca="1">(+S28*T28/100)/100</f>
        <v>0.18668885318485684</v>
      </c>
      <c r="V28" s="537">
        <f>regDebt_weighted</f>
        <v>3.5860000000000003E-2</v>
      </c>
      <c r="W28" s="537">
        <f ca="1">+U28-V28</f>
        <v>0.15082885318485684</v>
      </c>
      <c r="X28" s="537">
        <f ca="1">+((W28*(1-0.34))-Pfd_weighted)/Equity_percent</f>
        <v>0.27138675320350436</v>
      </c>
      <c r="Y28" s="537">
        <f ca="1">+X28*equityP</f>
        <v>0.16283205192210262</v>
      </c>
      <c r="Z28" s="537">
        <f ca="1">+Y28/(1-taxrate)</f>
        <v>0.20611652142038306</v>
      </c>
      <c r="AA28" s="537">
        <f>debtP*Debt_Rate</f>
        <v>2.0000000000000004E-2</v>
      </c>
      <c r="AB28" s="537">
        <f ca="1">+AA28+Z28</f>
        <v>0.22611652142038308</v>
      </c>
      <c r="AC28" s="537">
        <f ca="1">+AB28/(S28/100)</f>
        <v>6.8715067653545819E-2</v>
      </c>
      <c r="AD28" s="537">
        <f ca="1">1-AC28</f>
        <v>0.93128493234645415</v>
      </c>
      <c r="AE28" s="534">
        <f ca="1">expenses/(AD28)</f>
        <v>477289.12820189336</v>
      </c>
      <c r="AF28" s="536">
        <f ca="1">+AE28-Revenue</f>
        <v>-63926.485589002899</v>
      </c>
      <c r="AG28" s="535">
        <f ca="1">+AF28/$J$49</f>
        <v>-70368.723278496385</v>
      </c>
      <c r="AH28" s="535">
        <f ca="1">+AG28*$J$47</f>
        <v>-1590.3331460940185</v>
      </c>
      <c r="AI28" s="534">
        <f ca="1">ROUND(+AH28+AE28,5)</f>
        <v>475698.79505999997</v>
      </c>
    </row>
    <row r="29" spans="1:35" ht="16.5" thickTop="1">
      <c r="A29" s="468"/>
      <c r="B29" s="468"/>
      <c r="C29" s="468"/>
      <c r="D29" s="468"/>
      <c r="E29" s="468"/>
      <c r="F29" s="505">
        <f t="shared" si="0"/>
        <v>23</v>
      </c>
      <c r="G29" s="506"/>
      <c r="H29" s="506"/>
      <c r="I29" s="506"/>
      <c r="J29" s="506"/>
      <c r="K29" s="506"/>
      <c r="L29" s="506"/>
      <c r="M29" s="506"/>
      <c r="N29" s="506"/>
      <c r="O29" s="468"/>
      <c r="P29" s="468"/>
      <c r="R29" s="518">
        <v>4</v>
      </c>
      <c r="S29" s="539">
        <f ca="1">AI24/Investment*100</f>
        <v>328.88378930448306</v>
      </c>
      <c r="T29" s="538">
        <f ca="1">EXP(y_inter4-(slope*LN(S29)))</f>
        <v>5.639811984344373</v>
      </c>
      <c r="U29" s="537">
        <f ca="1">(+S29*T29/100)/100</f>
        <v>0.18548427363760134</v>
      </c>
      <c r="V29" s="537">
        <f>regDebt_weighted</f>
        <v>3.5860000000000003E-2</v>
      </c>
      <c r="W29" s="537">
        <f ca="1">+U29-V29</f>
        <v>0.14962427363760133</v>
      </c>
      <c r="X29" s="537">
        <f ca="1">+((W29*(1-0.34))-Pfd_weighted)/Equity_percent</f>
        <v>0.2690756412814444</v>
      </c>
      <c r="Y29" s="537">
        <f ca="1">+X29*equityP</f>
        <v>0.16144538476886663</v>
      </c>
      <c r="Z29" s="537">
        <f ca="1">+Y29/(1-taxrate)</f>
        <v>0.20436124654286913</v>
      </c>
      <c r="AA29" s="537">
        <f>debtP*Debt_Rate</f>
        <v>2.0000000000000004E-2</v>
      </c>
      <c r="AB29" s="537">
        <f ca="1">+AA29+Z29</f>
        <v>0.22436124654286915</v>
      </c>
      <c r="AC29" s="537">
        <f ca="1">+AB29/(S29/100)</f>
        <v>6.8219004353283541E-2</v>
      </c>
      <c r="AD29" s="537">
        <f ca="1">1-AC29</f>
        <v>0.93178099564671646</v>
      </c>
      <c r="AE29" s="534">
        <f ca="1">expenses/(AD29)</f>
        <v>477035.02812771138</v>
      </c>
      <c r="AF29" s="536">
        <f ca="1">+AE29-Revenue</f>
        <v>-64180.585663184873</v>
      </c>
      <c r="AG29" s="535">
        <f ca="1">+AF29/$J$49</f>
        <v>-70648.430470912936</v>
      </c>
      <c r="AH29" s="535">
        <f ca="1">+AG29*$J$47</f>
        <v>-1596.6545286426324</v>
      </c>
      <c r="AI29" s="534">
        <f ca="1">ROUND(+AH29+AE29,5)</f>
        <v>475438.37359999999</v>
      </c>
    </row>
    <row r="30" spans="1:35" ht="15.75">
      <c r="A30" s="468"/>
      <c r="B30" s="468"/>
      <c r="C30" s="468"/>
      <c r="D30" s="468"/>
      <c r="E30" s="468"/>
      <c r="F30" s="505">
        <f t="shared" si="0"/>
        <v>24</v>
      </c>
      <c r="G30" s="506"/>
      <c r="H30" s="506"/>
      <c r="I30" s="506"/>
      <c r="J30" s="550" t="s">
        <v>1197</v>
      </c>
      <c r="K30" s="550" t="s">
        <v>1196</v>
      </c>
      <c r="L30" s="506"/>
      <c r="M30" s="506"/>
      <c r="N30" s="506"/>
      <c r="O30" s="468"/>
      <c r="P30" s="468"/>
      <c r="R30" s="450" t="s">
        <v>1195</v>
      </c>
      <c r="W30" s="456"/>
      <c r="X30" s="454"/>
      <c r="Y30" s="453"/>
      <c r="Z30" s="453"/>
      <c r="AA30" s="454"/>
      <c r="AC30" s="454"/>
      <c r="AD30" s="454"/>
      <c r="AE30" s="453"/>
      <c r="AF30" s="456"/>
      <c r="AH30" s="453"/>
    </row>
    <row r="31" spans="1:35" ht="15.75">
      <c r="A31" s="468"/>
      <c r="B31" s="468"/>
      <c r="C31" s="468"/>
      <c r="D31" s="468"/>
      <c r="E31" s="468"/>
      <c r="F31" s="505">
        <f t="shared" si="0"/>
        <v>25</v>
      </c>
      <c r="G31" s="506"/>
      <c r="H31" s="533" t="s">
        <v>1174</v>
      </c>
      <c r="I31" s="549"/>
      <c r="J31" s="548" t="s">
        <v>1194</v>
      </c>
      <c r="K31" s="548" t="s">
        <v>1194</v>
      </c>
      <c r="L31" s="506"/>
      <c r="M31" s="506"/>
      <c r="N31" s="506"/>
      <c r="O31" s="468"/>
      <c r="P31" s="468"/>
      <c r="R31" s="585">
        <v>1</v>
      </c>
      <c r="S31" s="584">
        <f ca="1">AI26/Investment*100</f>
        <v>329.76404746854928</v>
      </c>
      <c r="T31" s="583">
        <f ca="1">EXP(y_inter1-(slope*LN(+S31)))</f>
        <v>5.8032803140271199</v>
      </c>
      <c r="U31" s="582">
        <f ca="1">(+S31*T31/100)/100</f>
        <v>0.19137132049481365</v>
      </c>
      <c r="V31" s="582">
        <f>regDebt_weighted</f>
        <v>3.5860000000000003E-2</v>
      </c>
      <c r="W31" s="582">
        <f ca="1">+U31-V31</f>
        <v>0.15551132049481364</v>
      </c>
      <c r="X31" s="582">
        <f ca="1">+((W31*(1-0.34))-Pfd_weighted)/Equity_percent</f>
        <v>0.28037055676330525</v>
      </c>
      <c r="Y31" s="582">
        <f ca="1">+X31*equityP</f>
        <v>0.16822233405798315</v>
      </c>
      <c r="Z31" s="582">
        <f ca="1">+Y31/(1-taxrate)</f>
        <v>0.21293966336453563</v>
      </c>
      <c r="AA31" s="582">
        <f>debtP*Debt_Rate</f>
        <v>2.0000000000000004E-2</v>
      </c>
      <c r="AB31" s="582">
        <f ca="1">+AA31+Z31</f>
        <v>0.23293966336453564</v>
      </c>
      <c r="AC31" s="582">
        <f ca="1">+AB31/(S31/100)</f>
        <v>7.0638283691842399E-2</v>
      </c>
      <c r="AD31" s="582">
        <f ca="1">1-AC31</f>
        <v>0.92936171630815756</v>
      </c>
      <c r="AE31" s="579">
        <f ca="1">expenses/(AD31)</f>
        <v>478276.82770592382</v>
      </c>
      <c r="AF31" s="581">
        <f ca="1">+AE31-Revenue</f>
        <v>-62938.786084972438</v>
      </c>
      <c r="AG31" s="580">
        <f ca="1">+AF31/$J$49</f>
        <v>-69281.487644610956</v>
      </c>
      <c r="AH31" s="580">
        <f ca="1">+AG31*$J$47</f>
        <v>-1565.7616207682076</v>
      </c>
      <c r="AI31" s="579">
        <f ca="1">ROUND(+AH31+AE31,5)</f>
        <v>476711.06608999998</v>
      </c>
    </row>
    <row r="32" spans="1:35" ht="15.75">
      <c r="A32" s="468"/>
      <c r="B32" s="468"/>
      <c r="C32" s="468"/>
      <c r="D32" s="468"/>
      <c r="E32" s="468"/>
      <c r="F32" s="505">
        <f t="shared" si="0"/>
        <v>26</v>
      </c>
      <c r="G32" s="506"/>
      <c r="H32" s="510"/>
      <c r="I32" s="510"/>
      <c r="J32" s="510"/>
      <c r="K32" s="510"/>
      <c r="L32" s="506"/>
      <c r="M32" s="506"/>
      <c r="N32" s="506"/>
      <c r="O32" s="468"/>
      <c r="P32" s="468"/>
      <c r="R32" s="544">
        <v>2</v>
      </c>
      <c r="S32" s="539">
        <f ca="1">AI27/Investment*100</f>
        <v>329.3455567776154</v>
      </c>
      <c r="T32" s="543">
        <f ca="1">EXP(y_inter2-(slope*LN(+S32)))</f>
        <v>5.7256810266751943</v>
      </c>
      <c r="U32" s="537">
        <f ca="1">(+S32*T32/100)/100</f>
        <v>0.18857276056613706</v>
      </c>
      <c r="V32" s="537">
        <f>regDebt_weighted</f>
        <v>3.5860000000000003E-2</v>
      </c>
      <c r="W32" s="537">
        <f ca="1">+U32-V32</f>
        <v>0.15271276056613706</v>
      </c>
      <c r="X32" s="537">
        <f ca="1">+((W32*(1-0.34))-Pfd_weighted)/Equity_percent</f>
        <v>0.27500122666758853</v>
      </c>
      <c r="Y32" s="537">
        <f ca="1">+X32*equityP</f>
        <v>0.16500073600055312</v>
      </c>
      <c r="Z32" s="537">
        <f ca="1">+Y32/(1-taxrate)</f>
        <v>0.20886169113994066</v>
      </c>
      <c r="AA32" s="537">
        <f>debtP*Debt_Rate</f>
        <v>2.0000000000000004E-2</v>
      </c>
      <c r="AB32" s="537">
        <f ca="1">+AA32+Z32</f>
        <v>0.22886169113994065</v>
      </c>
      <c r="AC32" s="537">
        <f ca="1">+AB32/(S32/100)</f>
        <v>6.9489837172594784E-2</v>
      </c>
      <c r="AD32" s="537">
        <f ca="1">1-AC32</f>
        <v>0.93051016282740517</v>
      </c>
      <c r="AE32" s="534">
        <f ca="1">expenses/(AD32)</f>
        <v>477686.53285482124</v>
      </c>
      <c r="AF32" s="536">
        <f ca="1">+AE32-Revenue</f>
        <v>-63529.080936075014</v>
      </c>
      <c r="AG32" s="535">
        <f ca="1">+AF32/$J$49</f>
        <v>-69931.269885058471</v>
      </c>
      <c r="AH32" s="535">
        <f ca="1">+AG32*$J$47</f>
        <v>-1580.4466994023217</v>
      </c>
      <c r="AI32" s="534">
        <f ca="1">ROUND(+AH32+AE32,5)</f>
        <v>476106.08616000001</v>
      </c>
    </row>
    <row r="33" spans="1:46" ht="15.75">
      <c r="A33" s="468"/>
      <c r="B33" s="468"/>
      <c r="C33" s="468"/>
      <c r="D33" s="468"/>
      <c r="E33" s="468"/>
      <c r="F33" s="505">
        <f t="shared" si="0"/>
        <v>27</v>
      </c>
      <c r="G33" s="506"/>
      <c r="H33" s="510" t="s">
        <v>1171</v>
      </c>
      <c r="I33" s="510"/>
      <c r="J33" s="542">
        <f ca="1">+K9/J28</f>
        <v>0.22688985598035408</v>
      </c>
      <c r="K33" s="542">
        <f ca="1">+(M14+M11)/J28</f>
        <v>0.18344298622447974</v>
      </c>
      <c r="L33" s="506"/>
      <c r="M33" s="506"/>
      <c r="N33" s="506"/>
      <c r="O33" s="468"/>
      <c r="P33" s="468"/>
      <c r="R33" s="512">
        <v>3</v>
      </c>
      <c r="S33" s="539">
        <f ca="1">AI28/Investment*100</f>
        <v>329.06382213402236</v>
      </c>
      <c r="T33" s="540">
        <f ca="1">EXP(y_inter3-(slope*LN(S33)))</f>
        <v>5.6733319261925015</v>
      </c>
      <c r="U33" s="537">
        <f ca="1">(+S33*T33/100)/100</f>
        <v>0.18668882878678797</v>
      </c>
      <c r="V33" s="537">
        <f>regDebt_weighted</f>
        <v>3.5860000000000003E-2</v>
      </c>
      <c r="W33" s="537">
        <f ca="1">+U33-V33</f>
        <v>0.15082882878678797</v>
      </c>
      <c r="X33" s="537">
        <f ca="1">+((W33*(1-0.34))-Pfd_weighted)/Equity_percent</f>
        <v>0.27138670639325596</v>
      </c>
      <c r="Y33" s="537">
        <f ca="1">+X33*equityP</f>
        <v>0.16283202383595358</v>
      </c>
      <c r="Z33" s="537">
        <f ca="1">+Y33/(1-taxrate)</f>
        <v>0.20611648586829565</v>
      </c>
      <c r="AA33" s="537">
        <f>debtP*Debt_Rate</f>
        <v>2.0000000000000004E-2</v>
      </c>
      <c r="AB33" s="537">
        <f ca="1">+AA33+Z33</f>
        <v>0.22611648586829564</v>
      </c>
      <c r="AC33" s="537">
        <f ca="1">+AB33/(S33/100)</f>
        <v>6.8715085238450213E-2</v>
      </c>
      <c r="AD33" s="537">
        <f ca="1">1-AC33</f>
        <v>0.93128491476154984</v>
      </c>
      <c r="AE33" s="534">
        <f ca="1">expenses/(AD33)</f>
        <v>477289.13721426274</v>
      </c>
      <c r="AF33" s="536">
        <f ca="1">+AE33-Revenue</f>
        <v>-63926.476576633519</v>
      </c>
      <c r="AG33" s="535">
        <f ca="1">+AF33/$J$49</f>
        <v>-70368.713357898989</v>
      </c>
      <c r="AH33" s="535">
        <f ca="1">+AG33*$J$47</f>
        <v>-1590.3329218885174</v>
      </c>
      <c r="AI33" s="534">
        <f ca="1">ROUND(+AH33+AE33,5)</f>
        <v>475698.80429</v>
      </c>
    </row>
    <row r="34" spans="1:46" ht="15.75">
      <c r="A34" s="468"/>
      <c r="B34" s="468"/>
      <c r="C34" s="468"/>
      <c r="D34" s="468"/>
      <c r="E34" s="468"/>
      <c r="F34" s="505">
        <f t="shared" si="0"/>
        <v>28</v>
      </c>
      <c r="G34" s="506"/>
      <c r="H34" s="510" t="s">
        <v>1170</v>
      </c>
      <c r="I34" s="510"/>
      <c r="J34" s="542">
        <f ca="1">+(M9-M11)/J26</f>
        <v>0.34481642663392348</v>
      </c>
      <c r="K34" s="542">
        <f ca="1">+M14/J26</f>
        <v>0.27240497704079958</v>
      </c>
      <c r="L34" s="506"/>
      <c r="M34" s="506"/>
      <c r="N34" s="506"/>
      <c r="O34" s="547"/>
      <c r="P34" s="468"/>
      <c r="R34" s="518">
        <v>4</v>
      </c>
      <c r="S34" s="539">
        <f ca="1">AI29/Investment*100</f>
        <v>328.88367603762009</v>
      </c>
      <c r="T34" s="538">
        <f ca="1">EXP(y_inter4-(slope*LN(S34)))</f>
        <v>5.6398133122636622</v>
      </c>
      <c r="U34" s="537">
        <f ca="1">(+S34*T34/100)/100</f>
        <v>0.18548425343031794</v>
      </c>
      <c r="V34" s="537">
        <f>regDebt_weighted</f>
        <v>3.5860000000000003E-2</v>
      </c>
      <c r="W34" s="537">
        <f ca="1">+U34-V34</f>
        <v>0.14962425343031793</v>
      </c>
      <c r="X34" s="537">
        <f ca="1">+((W34*(1-0.34))-Pfd_weighted)/Equity_percent</f>
        <v>0.26907560251165646</v>
      </c>
      <c r="Y34" s="537">
        <f ca="1">+X34*equityP</f>
        <v>0.16144536150699387</v>
      </c>
      <c r="Z34" s="537">
        <f ca="1">+Y34/(1-taxrate)</f>
        <v>0.20436121709746058</v>
      </c>
      <c r="AA34" s="537">
        <f>debtP*Debt_Rate</f>
        <v>2.0000000000000004E-2</v>
      </c>
      <c r="AB34" s="537">
        <f ca="1">+AA34+Z34</f>
        <v>0.2243612170974606</v>
      </c>
      <c r="AC34" s="537">
        <f ca="1">+AB34/(S34/100)</f>
        <v>6.8219018894630862E-2</v>
      </c>
      <c r="AD34" s="537">
        <f ca="1">1-AC34</f>
        <v>0.93178098110536911</v>
      </c>
      <c r="AE34" s="534">
        <f ca="1">expenses/(AD34)</f>
        <v>477035.03557230643</v>
      </c>
      <c r="AF34" s="536">
        <f ca="1">+AE34-Revenue</f>
        <v>-64180.578218589828</v>
      </c>
      <c r="AG34" s="535">
        <f ca="1">+AF34/$J$49</f>
        <v>-70648.422276083453</v>
      </c>
      <c r="AH34" s="535">
        <f ca="1">+AG34*$J$47</f>
        <v>-1596.6543434394862</v>
      </c>
      <c r="AI34" s="534">
        <f ca="1">ROUND(+AH34+AE34,5)</f>
        <v>475438.38123</v>
      </c>
    </row>
    <row r="35" spans="1:46" ht="15.75">
      <c r="A35" s="468"/>
      <c r="B35" s="468"/>
      <c r="C35" s="468"/>
      <c r="D35" s="468"/>
      <c r="E35" s="468"/>
      <c r="F35" s="505">
        <f t="shared" si="0"/>
        <v>29</v>
      </c>
      <c r="G35" s="506"/>
      <c r="H35" s="546" t="s">
        <v>1169</v>
      </c>
      <c r="I35" s="510"/>
      <c r="J35" s="542">
        <f ca="1">+K8/K7</f>
        <v>0.93128</v>
      </c>
      <c r="K35" s="542">
        <f ca="1">+M8/M7</f>
        <v>0.93105026896399379</v>
      </c>
      <c r="L35" s="506"/>
      <c r="M35" s="506"/>
      <c r="N35" s="506"/>
      <c r="O35" s="468"/>
      <c r="P35" s="468"/>
      <c r="R35" s="450" t="s">
        <v>1193</v>
      </c>
      <c r="X35" s="454"/>
      <c r="Y35" s="455"/>
      <c r="Z35" s="453"/>
      <c r="AA35" s="454"/>
      <c r="AC35" s="454"/>
      <c r="AD35" s="454"/>
      <c r="AE35" s="453"/>
      <c r="AF35" s="456"/>
      <c r="AH35" s="453"/>
    </row>
    <row r="36" spans="1:46" ht="15.75">
      <c r="A36" s="468"/>
      <c r="B36" s="468"/>
      <c r="C36" s="468"/>
      <c r="D36" s="468"/>
      <c r="E36" s="468"/>
      <c r="F36" s="505">
        <f t="shared" si="0"/>
        <v>30</v>
      </c>
      <c r="G36" s="506"/>
      <c r="H36" s="510" t="s">
        <v>1168</v>
      </c>
      <c r="I36" s="510"/>
      <c r="J36" s="542">
        <f ca="1">+K9/K7</f>
        <v>6.8720000000000003E-2</v>
      </c>
      <c r="K36" s="542">
        <f ca="1">+J36</f>
        <v>6.8720000000000003E-2</v>
      </c>
      <c r="L36" s="506"/>
      <c r="M36" s="506"/>
      <c r="N36" s="506"/>
      <c r="O36" s="468"/>
      <c r="P36" s="468"/>
      <c r="R36" s="585">
        <v>1</v>
      </c>
      <c r="S36" s="584">
        <f ca="1">AI31/Investment*100</f>
        <v>329.76405887547833</v>
      </c>
      <c r="T36" s="583">
        <f ca="1">EXP(y_inter1-(slope*LN(+S36)))</f>
        <v>5.8032801767856057</v>
      </c>
      <c r="U36" s="582">
        <f ca="1">(+S36*T36/100)/100</f>
        <v>0.19137132258884251</v>
      </c>
      <c r="V36" s="582">
        <f>regDebt_weighted</f>
        <v>3.5860000000000003E-2</v>
      </c>
      <c r="W36" s="582">
        <f ca="1">+U36-V36</f>
        <v>0.15551132258884251</v>
      </c>
      <c r="X36" s="582">
        <f ca="1">+((W36*(1-0.34))-Pfd_weighted)/Equity_percent</f>
        <v>0.28037056078091876</v>
      </c>
      <c r="Y36" s="582">
        <f ca="1">+X36*equityP</f>
        <v>0.16822233646855125</v>
      </c>
      <c r="Z36" s="582">
        <f ca="1">+Y36/(1-taxrate)</f>
        <v>0.21293966641588766</v>
      </c>
      <c r="AA36" s="582">
        <f>debtP*Debt_Rate</f>
        <v>2.0000000000000004E-2</v>
      </c>
      <c r="AB36" s="582">
        <f ca="1">+AA36+Z36</f>
        <v>0.23293966641588765</v>
      </c>
      <c r="AC36" s="582">
        <f ca="1">+AB36/(S36/100)</f>
        <v>7.0638282173694264E-2</v>
      </c>
      <c r="AD36" s="582">
        <f ca="1">1-AC36</f>
        <v>0.92936171782630572</v>
      </c>
      <c r="AE36" s="579">
        <f ca="1">expenses/(AD36)</f>
        <v>478276.82692464022</v>
      </c>
      <c r="AF36" s="581">
        <f ca="1">+AE36-Revenue</f>
        <v>-62938.786866256036</v>
      </c>
      <c r="AG36" s="580">
        <f ca="1">+AF36/$J$49</f>
        <v>-69281.488504628971</v>
      </c>
      <c r="AH36" s="580">
        <f ca="1">+AG36*$J$47</f>
        <v>-1565.7616402046149</v>
      </c>
      <c r="AI36" s="579">
        <f ca="1">ROUND(+AH36+AE36,5)</f>
        <v>476711.06527999998</v>
      </c>
    </row>
    <row r="37" spans="1:46" ht="15.75">
      <c r="A37" s="468"/>
      <c r="B37" s="468"/>
      <c r="C37" s="468"/>
      <c r="D37" s="468"/>
      <c r="E37" s="468"/>
      <c r="F37" s="505">
        <f t="shared" si="0"/>
        <v>31</v>
      </c>
      <c r="G37" s="506"/>
      <c r="H37" s="510" t="s">
        <v>1167</v>
      </c>
      <c r="I37" s="509"/>
      <c r="J37" s="545">
        <f ca="1">+S39/100</f>
        <v>3.2888368131565948</v>
      </c>
      <c r="K37" s="545">
        <f ca="1">+J37</f>
        <v>3.2888368131565948</v>
      </c>
      <c r="L37" s="506"/>
      <c r="M37" s="506"/>
      <c r="N37" s="506"/>
      <c r="O37" s="468"/>
      <c r="P37" s="468"/>
      <c r="R37" s="544">
        <v>2</v>
      </c>
      <c r="S37" s="539">
        <f ca="1">AI32/Investment*100</f>
        <v>329.34556505092479</v>
      </c>
      <c r="T37" s="543">
        <f ca="1">EXP(y_inter2-(slope*LN(+S37)))</f>
        <v>5.7256809283417773</v>
      </c>
      <c r="U37" s="537">
        <f ca="1">(+S37*T37/100)/100</f>
        <v>0.18857276206460263</v>
      </c>
      <c r="V37" s="537">
        <f>regDebt_weighted</f>
        <v>3.5860000000000003E-2</v>
      </c>
      <c r="W37" s="537">
        <f ca="1">+U37-V37</f>
        <v>0.15271276206460263</v>
      </c>
      <c r="X37" s="537">
        <f ca="1">+((W37*(1-0.34))-Pfd_weighted)/Equity_percent</f>
        <v>0.27500122954255152</v>
      </c>
      <c r="Y37" s="537">
        <f ca="1">+X37*equityP</f>
        <v>0.16500073772553089</v>
      </c>
      <c r="Z37" s="537">
        <f ca="1">+Y37/(1-taxrate)</f>
        <v>0.20886169332345683</v>
      </c>
      <c r="AA37" s="537">
        <f>debtP*Debt_Rate</f>
        <v>2.0000000000000004E-2</v>
      </c>
      <c r="AB37" s="537">
        <f ca="1">+AA37+Z37</f>
        <v>0.22886169332345685</v>
      </c>
      <c r="AC37" s="537">
        <f ca="1">+AB37/(S37/100)</f>
        <v>6.9489836089965049E-2</v>
      </c>
      <c r="AD37" s="537">
        <f ca="1">1-AC37</f>
        <v>0.93051016391003494</v>
      </c>
      <c r="AE37" s="534">
        <f ca="1">expenses/(AD37)</f>
        <v>477686.53229904262</v>
      </c>
      <c r="AF37" s="536">
        <f ca="1">+AE37-Revenue</f>
        <v>-63529.081491853634</v>
      </c>
      <c r="AG37" s="535">
        <f ca="1">+AF37/$J$49</f>
        <v>-69931.270496846089</v>
      </c>
      <c r="AH37" s="535">
        <f ca="1">+AG37*$J$47</f>
        <v>-1580.4467132287218</v>
      </c>
      <c r="AI37" s="534">
        <f ca="1">ROUND(+AH37+AE37,5)</f>
        <v>476106.08558999997</v>
      </c>
    </row>
    <row r="38" spans="1:46" ht="15.75">
      <c r="A38" s="468"/>
      <c r="B38" s="468"/>
      <c r="C38" s="468"/>
      <c r="D38" s="468"/>
      <c r="E38" s="468"/>
      <c r="F38" s="505">
        <f t="shared" si="0"/>
        <v>32</v>
      </c>
      <c r="G38" s="506"/>
      <c r="H38" s="510" t="s">
        <v>178</v>
      </c>
      <c r="I38" s="506"/>
      <c r="J38" s="542">
        <f>+C10</f>
        <v>0.21</v>
      </c>
      <c r="K38" s="542">
        <f>+J38</f>
        <v>0.21</v>
      </c>
      <c r="L38" s="506"/>
      <c r="M38" s="506"/>
      <c r="N38" s="506"/>
      <c r="O38" s="468"/>
      <c r="P38" s="468"/>
      <c r="Q38" s="541"/>
      <c r="R38" s="512">
        <v>3</v>
      </c>
      <c r="S38" s="539">
        <f ca="1">AI33/Investment*100</f>
        <v>329.06382851885894</v>
      </c>
      <c r="T38" s="540">
        <f ca="1">EXP(y_inter3-(slope*LN(S38)))</f>
        <v>5.6733318509342103</v>
      </c>
      <c r="U38" s="537">
        <f ca="1">(+S38*T38/100)/100</f>
        <v>0.18668882993263958</v>
      </c>
      <c r="V38" s="537">
        <f>regDebt_weighted</f>
        <v>3.5860000000000003E-2</v>
      </c>
      <c r="W38" s="537">
        <f ca="1">+U38-V38</f>
        <v>0.15082882993263957</v>
      </c>
      <c r="X38" s="537">
        <f ca="1">+((W38*(1-0.34))-Pfd_weighted)/Equity_percent</f>
        <v>0.27138670859169223</v>
      </c>
      <c r="Y38" s="537">
        <f ca="1">+X38*equityP</f>
        <v>0.16283202515501533</v>
      </c>
      <c r="Z38" s="537">
        <f ca="1">+Y38/(1-taxrate)</f>
        <v>0.20611648753799408</v>
      </c>
      <c r="AA38" s="537">
        <f>debtP*Debt_Rate</f>
        <v>2.0000000000000004E-2</v>
      </c>
      <c r="AB38" s="537">
        <f ca="1">+AA38+Z38</f>
        <v>0.22611648753799407</v>
      </c>
      <c r="AC38" s="537">
        <f ca="1">+AB38/(S38/100)</f>
        <v>6.8715084412577759E-2</v>
      </c>
      <c r="AD38" s="537">
        <f ca="1">1-AC38</f>
        <v>0.93128491558742221</v>
      </c>
      <c r="AE38" s="534">
        <f ca="1">expenses/(AD38)</f>
        <v>477289.13679099816</v>
      </c>
      <c r="AF38" s="536">
        <f ca="1">+AE38-Revenue</f>
        <v>-63926.476999898092</v>
      </c>
      <c r="AG38" s="535">
        <f ca="1">+AF38/$J$49</f>
        <v>-70368.713823818354</v>
      </c>
      <c r="AH38" s="535">
        <f ca="1">+AG38*$J$47</f>
        <v>-1590.3329324182951</v>
      </c>
      <c r="AI38" s="534">
        <f ca="1">ROUND(+AH38+AE38,5)</f>
        <v>475698.80385999999</v>
      </c>
    </row>
    <row r="39" spans="1:46" ht="15.75">
      <c r="A39" s="468"/>
      <c r="B39" s="468"/>
      <c r="C39" s="468"/>
      <c r="D39" s="468"/>
      <c r="E39" s="468"/>
      <c r="F39" s="505">
        <f t="shared" si="0"/>
        <v>33</v>
      </c>
      <c r="G39" s="506"/>
      <c r="H39" s="506"/>
      <c r="I39" s="506"/>
      <c r="J39" s="506"/>
      <c r="K39" s="506"/>
      <c r="L39" s="506"/>
      <c r="M39" s="506"/>
      <c r="N39" s="506"/>
      <c r="O39" s="468"/>
      <c r="P39" s="468"/>
      <c r="R39" s="518">
        <v>4</v>
      </c>
      <c r="S39" s="539">
        <f ca="1">AI34/Investment*100</f>
        <v>328.88368131565949</v>
      </c>
      <c r="T39" s="538">
        <f ca="1">EXP(y_inter4-(slope*LN(S39)))</f>
        <v>5.6398132503849121</v>
      </c>
      <c r="U39" s="537">
        <f ca="1">(+S39*T39/100)/100</f>
        <v>0.18548425437194249</v>
      </c>
      <c r="V39" s="537">
        <f>regDebt_weighted</f>
        <v>3.5860000000000003E-2</v>
      </c>
      <c r="W39" s="537">
        <f ca="1">+U39-V39</f>
        <v>0.14962425437194249</v>
      </c>
      <c r="X39" s="537">
        <f ca="1">+((W39*(1-0.34))-Pfd_weighted)/Equity_percent</f>
        <v>0.26907560431826172</v>
      </c>
      <c r="Y39" s="537">
        <f ca="1">+X39*equityP</f>
        <v>0.16144536259095701</v>
      </c>
      <c r="Z39" s="537">
        <f ca="1">+Y39/(1-taxrate)</f>
        <v>0.20436121846956584</v>
      </c>
      <c r="AA39" s="537">
        <f>debtP*Debt_Rate</f>
        <v>2.0000000000000004E-2</v>
      </c>
      <c r="AB39" s="537">
        <f ca="1">+AA39+Z39</f>
        <v>0.22436121846956586</v>
      </c>
      <c r="AC39" s="537">
        <f ca="1">+AB39/(S39/100)</f>
        <v>6.8219018217029151E-2</v>
      </c>
      <c r="AD39" s="537">
        <f ca="1">1-AC39</f>
        <v>0.93178098178297086</v>
      </c>
      <c r="AE39" s="534">
        <f ca="1">expenses/(AD39)</f>
        <v>477035.03522540111</v>
      </c>
      <c r="AF39" s="536">
        <f ca="1">+AE39-Revenue</f>
        <v>-64180.578565495147</v>
      </c>
      <c r="AG39" s="535">
        <f ca="1">+AF39/$J$49</f>
        <v>-70648.422657948409</v>
      </c>
      <c r="AH39" s="535">
        <f ca="1">+AG39*$J$47</f>
        <v>-1596.6543520696341</v>
      </c>
      <c r="AI39" s="534">
        <f ca="1">ROUND(+AH39+AE39,5)</f>
        <v>475438.38086999999</v>
      </c>
    </row>
    <row r="40" spans="1:46" ht="15.75">
      <c r="A40" s="468"/>
      <c r="B40" s="468"/>
      <c r="C40" s="468"/>
      <c r="D40" s="468"/>
      <c r="E40" s="468"/>
      <c r="F40" s="505">
        <f t="shared" si="0"/>
        <v>34</v>
      </c>
      <c r="G40" s="509"/>
      <c r="H40" s="506"/>
      <c r="I40" s="506"/>
      <c r="J40" s="506"/>
      <c r="K40" s="506"/>
      <c r="L40" s="506"/>
      <c r="M40" s="506"/>
      <c r="N40" s="506"/>
      <c r="O40" s="468"/>
      <c r="P40" s="468"/>
      <c r="X40" s="454"/>
      <c r="Y40" s="455"/>
      <c r="Z40" s="453"/>
      <c r="AA40" s="454"/>
      <c r="AC40" s="454"/>
      <c r="AD40" s="454"/>
      <c r="AE40" s="453"/>
      <c r="AF40" s="456"/>
      <c r="AH40" s="453"/>
    </row>
    <row r="41" spans="1:46" ht="15.75">
      <c r="A41" s="468"/>
      <c r="B41" s="468"/>
      <c r="C41" s="468"/>
      <c r="D41" s="468"/>
      <c r="E41" s="468"/>
      <c r="F41" s="505">
        <f t="shared" si="0"/>
        <v>35</v>
      </c>
      <c r="G41" s="506"/>
      <c r="H41" s="533" t="s">
        <v>1192</v>
      </c>
      <c r="I41" s="532"/>
      <c r="J41" s="506"/>
      <c r="K41" s="506"/>
      <c r="L41" s="506"/>
      <c r="M41" s="506"/>
      <c r="N41" s="506"/>
      <c r="O41" s="468"/>
      <c r="P41" s="468"/>
      <c r="R41" s="748" t="s">
        <v>1191</v>
      </c>
      <c r="S41" s="747"/>
      <c r="T41" s="736"/>
      <c r="U41" s="736"/>
      <c r="V41" s="735"/>
      <c r="X41" s="531"/>
      <c r="Y41" s="455"/>
      <c r="Z41" s="453"/>
      <c r="AA41" s="454"/>
      <c r="AC41" s="454"/>
      <c r="AD41" s="454"/>
      <c r="AE41" s="453"/>
      <c r="AF41" s="456"/>
      <c r="AH41" s="453"/>
    </row>
    <row r="42" spans="1:46" ht="15.75">
      <c r="A42" s="468"/>
      <c r="B42" s="468"/>
      <c r="C42" s="468"/>
      <c r="D42" s="468"/>
      <c r="E42" s="468"/>
      <c r="F42" s="505">
        <f t="shared" si="0"/>
        <v>36</v>
      </c>
      <c r="G42" s="506"/>
      <c r="H42" s="506"/>
      <c r="I42" s="506"/>
      <c r="J42" s="530" t="s">
        <v>449</v>
      </c>
      <c r="K42" s="529" t="s">
        <v>1190</v>
      </c>
      <c r="L42" s="506"/>
      <c r="M42" s="506"/>
      <c r="N42" s="506"/>
      <c r="O42" s="468"/>
      <c r="P42" s="468"/>
      <c r="R42" s="528" t="s">
        <v>1189</v>
      </c>
      <c r="S42" s="527"/>
      <c r="T42" s="463"/>
      <c r="U42" s="463"/>
      <c r="V42" s="497"/>
      <c r="X42" s="454"/>
      <c r="Y42" s="455"/>
      <c r="Z42" s="453"/>
      <c r="AA42" s="454"/>
      <c r="AC42" s="454"/>
      <c r="AD42" s="454"/>
      <c r="AE42" s="453"/>
      <c r="AH42" s="453"/>
    </row>
    <row r="43" spans="1:46" ht="15.75">
      <c r="A43" s="468"/>
      <c r="B43" s="468"/>
      <c r="C43" s="468"/>
      <c r="D43" s="468"/>
      <c r="E43" s="468"/>
      <c r="F43" s="505">
        <f t="shared" si="0"/>
        <v>37</v>
      </c>
      <c r="G43" s="506"/>
      <c r="H43" s="510" t="s">
        <v>174</v>
      </c>
      <c r="I43" s="521"/>
      <c r="J43" s="520">
        <f>IF($A$65=TRUE,C11,0)</f>
        <v>1.7500000000000002E-2</v>
      </c>
      <c r="K43" s="519">
        <f ca="1">+J43*($J$7/$J$49)</f>
        <v>-1231.4039615483482</v>
      </c>
      <c r="L43" s="506"/>
      <c r="M43" s="506"/>
      <c r="N43" s="506"/>
      <c r="O43" s="468"/>
      <c r="P43" s="468"/>
      <c r="R43" s="512">
        <v>0</v>
      </c>
      <c r="S43" s="525">
        <v>1</v>
      </c>
      <c r="T43" s="463"/>
      <c r="U43" s="526" t="s">
        <v>1168</v>
      </c>
      <c r="V43" s="464">
        <f ca="1">VLOOKUP(R49,R36:AE39,12)</f>
        <v>6.8715084412577759E-2</v>
      </c>
      <c r="AA43" s="454"/>
      <c r="AC43" s="454"/>
      <c r="AH43" s="453"/>
      <c r="AL43" s="454"/>
      <c r="AM43" s="454"/>
      <c r="AN43" s="454"/>
      <c r="AO43" s="454"/>
      <c r="AP43" s="454"/>
      <c r="AQ43" s="454"/>
      <c r="AR43" s="454"/>
      <c r="AS43" s="454"/>
      <c r="AT43" s="454"/>
    </row>
    <row r="44" spans="1:46" ht="15.75">
      <c r="A44" s="468"/>
      <c r="B44" s="468"/>
      <c r="C44" s="468"/>
      <c r="D44" s="468"/>
      <c r="E44" s="468"/>
      <c r="F44" s="505">
        <f t="shared" si="0"/>
        <v>38</v>
      </c>
      <c r="G44" s="506"/>
      <c r="H44" s="510" t="s">
        <v>176</v>
      </c>
      <c r="I44" s="521"/>
      <c r="J44" s="520">
        <f>IF($A$65=TRUE,C12,0)</f>
        <v>5.1000000000000004E-3</v>
      </c>
      <c r="K44" s="519">
        <f ca="1">+J44*($J$7/$J$49)</f>
        <v>-358.86629736551862</v>
      </c>
      <c r="L44" s="506"/>
      <c r="M44" s="506"/>
      <c r="N44" s="506"/>
      <c r="O44" s="468"/>
      <c r="P44" s="468"/>
      <c r="R44" s="512">
        <v>50</v>
      </c>
      <c r="S44" s="525">
        <v>2</v>
      </c>
      <c r="T44" s="463"/>
      <c r="U44" s="526" t="s">
        <v>1169</v>
      </c>
      <c r="V44" s="464">
        <f ca="1">ROUND(1-V43,5)</f>
        <v>0.93128</v>
      </c>
      <c r="Y44" s="522"/>
      <c r="Z44" s="450"/>
      <c r="AA44" s="450"/>
      <c r="AC44" s="454"/>
      <c r="AF44" s="456"/>
      <c r="AH44" s="453"/>
      <c r="AL44" s="454"/>
      <c r="AM44" s="454"/>
      <c r="AN44" s="454"/>
      <c r="AO44" s="454"/>
      <c r="AP44" s="454"/>
      <c r="AQ44" s="454"/>
      <c r="AR44" s="454"/>
      <c r="AS44" s="454"/>
      <c r="AT44" s="454"/>
    </row>
    <row r="45" spans="1:46" ht="15.75">
      <c r="A45" s="468"/>
      <c r="B45" s="468"/>
      <c r="C45" s="468"/>
      <c r="D45" s="468"/>
      <c r="E45" s="468"/>
      <c r="F45" s="505">
        <f t="shared" si="0"/>
        <v>39</v>
      </c>
      <c r="G45" s="506"/>
      <c r="H45" s="510" t="s">
        <v>177</v>
      </c>
      <c r="I45" s="521"/>
      <c r="J45" s="520">
        <f>IF($A$65=TRUE,C13,0)</f>
        <v>0</v>
      </c>
      <c r="K45" s="519">
        <f ca="1">+J45*($J$7/$J$49)</f>
        <v>0</v>
      </c>
      <c r="L45" s="506"/>
      <c r="M45" s="506"/>
      <c r="N45" s="506"/>
      <c r="O45" s="468"/>
      <c r="P45" s="468"/>
      <c r="R45" s="512">
        <v>125</v>
      </c>
      <c r="S45" s="525">
        <v>3</v>
      </c>
      <c r="T45" s="463"/>
      <c r="U45" s="498" t="s">
        <v>1188</v>
      </c>
      <c r="V45" s="524">
        <f ca="1">+M7/Revenue-1</f>
        <v>-0.12105014398683178</v>
      </c>
      <c r="W45" s="523"/>
      <c r="X45" s="454"/>
      <c r="Y45" s="522"/>
      <c r="Z45" s="453"/>
      <c r="AA45" s="454"/>
      <c r="AC45" s="454"/>
      <c r="AD45" s="454"/>
      <c r="AE45" s="453"/>
      <c r="AF45" s="456"/>
      <c r="AH45" s="453"/>
      <c r="AL45" s="454"/>
      <c r="AM45" s="454"/>
      <c r="AN45" s="454"/>
      <c r="AO45" s="454"/>
      <c r="AP45" s="454"/>
      <c r="AQ45" s="454"/>
      <c r="AR45" s="454"/>
      <c r="AS45" s="454"/>
      <c r="AT45" s="454"/>
    </row>
    <row r="46" spans="1:46" ht="15.75">
      <c r="A46" s="468"/>
      <c r="B46" s="468"/>
      <c r="C46" s="468"/>
      <c r="D46" s="468"/>
      <c r="E46" s="468"/>
      <c r="F46" s="505">
        <f t="shared" si="0"/>
        <v>40</v>
      </c>
      <c r="G46" s="506"/>
      <c r="H46" s="510" t="s">
        <v>179</v>
      </c>
      <c r="I46" s="521"/>
      <c r="J46" s="520">
        <f>IF($A$65=TRUE,C14,0)</f>
        <v>0</v>
      </c>
      <c r="K46" s="519">
        <f ca="1">+J46*($J$7/$J$49)</f>
        <v>0</v>
      </c>
      <c r="L46" s="506"/>
      <c r="M46" s="506"/>
      <c r="N46" s="506"/>
      <c r="O46" s="468"/>
      <c r="P46" s="468"/>
      <c r="R46" s="518">
        <v>401</v>
      </c>
      <c r="S46" s="517">
        <v>4</v>
      </c>
      <c r="T46" s="516"/>
      <c r="U46" s="516"/>
      <c r="V46" s="515"/>
      <c r="X46" s="454"/>
      <c r="Y46" s="455"/>
      <c r="Z46" s="453"/>
      <c r="AA46" s="454"/>
      <c r="AC46" s="454"/>
      <c r="AD46" s="454"/>
      <c r="AE46" s="453"/>
      <c r="AF46" s="456"/>
      <c r="AH46" s="453"/>
      <c r="AL46" s="454"/>
      <c r="AM46" s="454"/>
      <c r="AN46" s="454"/>
      <c r="AO46" s="454"/>
      <c r="AP46" s="454"/>
      <c r="AQ46" s="454"/>
      <c r="AR46" s="454"/>
      <c r="AS46" s="454"/>
      <c r="AT46" s="454"/>
    </row>
    <row r="47" spans="1:46" ht="16.5" thickBot="1">
      <c r="A47" s="468"/>
      <c r="B47" s="468"/>
      <c r="C47" s="468"/>
      <c r="D47" s="468"/>
      <c r="E47" s="468"/>
      <c r="F47" s="505">
        <f t="shared" si="0"/>
        <v>41</v>
      </c>
      <c r="G47" s="506"/>
      <c r="H47" s="510" t="s">
        <v>181</v>
      </c>
      <c r="I47" s="509"/>
      <c r="J47" s="514">
        <f>SUM(J43:J46)</f>
        <v>2.2600000000000002E-2</v>
      </c>
      <c r="K47" s="513">
        <f ca="1">+K43+K44+K45+K46</f>
        <v>-1590.2702589138669</v>
      </c>
      <c r="L47" s="506"/>
      <c r="M47" s="506"/>
      <c r="N47" s="506"/>
      <c r="O47" s="468"/>
      <c r="P47" s="468"/>
      <c r="R47" s="512"/>
      <c r="S47" s="511"/>
      <c r="T47" s="463"/>
      <c r="U47" s="463"/>
      <c r="V47" s="463"/>
      <c r="X47" s="454"/>
      <c r="Y47" s="455"/>
      <c r="Z47" s="453"/>
      <c r="AA47" s="454"/>
      <c r="AC47" s="454"/>
      <c r="AD47" s="454"/>
      <c r="AE47" s="453"/>
      <c r="AF47" s="456"/>
      <c r="AH47" s="453"/>
      <c r="AL47" s="454"/>
      <c r="AM47" s="454"/>
      <c r="AN47" s="454"/>
      <c r="AO47" s="454"/>
      <c r="AP47" s="454"/>
      <c r="AQ47" s="454"/>
      <c r="AR47" s="454"/>
      <c r="AS47" s="454"/>
      <c r="AT47" s="454"/>
    </row>
    <row r="48" spans="1:46" ht="16.5" thickTop="1">
      <c r="A48" s="468"/>
      <c r="B48" s="468"/>
      <c r="C48" s="468"/>
      <c r="D48" s="468"/>
      <c r="E48" s="468"/>
      <c r="F48" s="505">
        <f t="shared" si="0"/>
        <v>42</v>
      </c>
      <c r="G48" s="506"/>
      <c r="H48" s="510"/>
      <c r="I48" s="509"/>
      <c r="J48" s="508"/>
      <c r="K48" s="507"/>
      <c r="L48" s="506"/>
      <c r="M48" s="506"/>
      <c r="N48" s="506"/>
      <c r="O48" s="468"/>
      <c r="P48" s="468"/>
      <c r="R48" s="746">
        <f ca="1">VLOOKUP(R49,R36:S39,2)</f>
        <v>329.06382851885894</v>
      </c>
      <c r="S48" s="745" t="s">
        <v>1187</v>
      </c>
      <c r="T48" s="735"/>
      <c r="V48" s="736"/>
      <c r="X48" s="449" t="s">
        <v>146</v>
      </c>
      <c r="AC48" s="454"/>
      <c r="AF48" s="456"/>
      <c r="AH48" s="453"/>
    </row>
    <row r="49" spans="1:46" ht="15.75">
      <c r="A49" s="468"/>
      <c r="B49" s="468"/>
      <c r="C49" s="468"/>
      <c r="D49" s="468"/>
      <c r="E49" s="468"/>
      <c r="F49" s="505">
        <f t="shared" si="0"/>
        <v>43</v>
      </c>
      <c r="G49" s="504"/>
      <c r="H49" s="503" t="s">
        <v>182</v>
      </c>
      <c r="I49" s="501"/>
      <c r="J49" s="502">
        <f ca="1">((K35)-J47)</f>
        <v>0.90845026896399383</v>
      </c>
      <c r="K49" s="501"/>
      <c r="L49" s="501"/>
      <c r="M49" s="501"/>
      <c r="N49" s="501"/>
      <c r="O49" s="468"/>
      <c r="P49" s="468"/>
      <c r="R49" s="499">
        <f ca="1">VLOOKUP(S36,R43:S46,2)</f>
        <v>3</v>
      </c>
      <c r="S49" s="500" t="s">
        <v>1186</v>
      </c>
      <c r="T49" s="497"/>
      <c r="X49" s="449" t="s">
        <v>149</v>
      </c>
      <c r="AA49" s="450"/>
      <c r="AC49" s="454"/>
      <c r="AH49" s="453"/>
    </row>
    <row r="50" spans="1:46">
      <c r="A50" s="468"/>
      <c r="B50" s="468"/>
      <c r="C50" s="468"/>
      <c r="D50" s="468"/>
      <c r="E50" s="468"/>
      <c r="F50" s="468"/>
      <c r="G50" s="468"/>
      <c r="H50" s="468"/>
      <c r="I50" s="468"/>
      <c r="J50" s="468"/>
      <c r="K50" s="496"/>
      <c r="L50" s="468"/>
      <c r="M50" s="468"/>
      <c r="N50" s="495"/>
      <c r="O50" s="468"/>
      <c r="P50" s="468"/>
      <c r="R50" s="499"/>
      <c r="S50" s="498"/>
      <c r="T50" s="497"/>
      <c r="X50" s="449" t="s">
        <v>155</v>
      </c>
      <c r="AA50" s="454"/>
      <c r="AC50" s="454"/>
      <c r="AD50" s="454"/>
      <c r="AE50" s="453"/>
      <c r="AH50" s="453"/>
    </row>
    <row r="51" spans="1:46">
      <c r="A51" s="468"/>
      <c r="B51" s="468"/>
      <c r="C51" s="468"/>
      <c r="D51" s="468"/>
      <c r="E51" s="468"/>
      <c r="F51" s="468"/>
      <c r="G51" s="468"/>
      <c r="H51" s="468"/>
      <c r="I51" s="468"/>
      <c r="J51" s="468"/>
      <c r="K51" s="496"/>
      <c r="L51" s="468"/>
      <c r="M51" s="468"/>
      <c r="N51" s="495"/>
      <c r="O51" s="468"/>
      <c r="P51" s="468"/>
      <c r="R51" s="494">
        <f ca="1">+V44</f>
        <v>0.93128</v>
      </c>
      <c r="S51" s="493" t="s">
        <v>1169</v>
      </c>
      <c r="T51" s="492"/>
      <c r="X51" s="449" t="s">
        <v>158</v>
      </c>
      <c r="AA51" s="454"/>
      <c r="AC51" s="454"/>
      <c r="AD51" s="454"/>
      <c r="AE51" s="453"/>
      <c r="AF51" s="454"/>
      <c r="AH51" s="453"/>
      <c r="AL51" s="454"/>
      <c r="AM51" s="454"/>
      <c r="AN51" s="454"/>
      <c r="AO51" s="454"/>
      <c r="AP51" s="454"/>
      <c r="AQ51" s="454"/>
      <c r="AR51" s="454"/>
      <c r="AS51" s="454"/>
      <c r="AT51" s="454"/>
    </row>
    <row r="52" spans="1:46">
      <c r="A52" s="468"/>
      <c r="B52" s="468"/>
      <c r="C52" s="468"/>
      <c r="D52" s="468"/>
      <c r="E52" s="468"/>
      <c r="F52" s="468"/>
      <c r="G52" s="468"/>
      <c r="H52" s="468"/>
      <c r="I52" s="468"/>
      <c r="J52" s="468"/>
      <c r="K52" s="468"/>
      <c r="L52" s="468"/>
      <c r="M52" s="468"/>
      <c r="N52" s="468"/>
      <c r="O52" s="468"/>
      <c r="P52" s="468"/>
      <c r="Z52" s="453"/>
      <c r="AA52" s="454"/>
      <c r="AC52" s="454"/>
      <c r="AD52" s="454"/>
      <c r="AE52" s="453"/>
      <c r="AF52" s="456"/>
      <c r="AH52" s="453"/>
      <c r="AL52" s="454"/>
      <c r="AM52" s="454"/>
      <c r="AN52" s="454"/>
      <c r="AO52" s="454"/>
      <c r="AP52" s="454"/>
      <c r="AQ52" s="454"/>
      <c r="AR52" s="454"/>
      <c r="AS52" s="454"/>
      <c r="AT52" s="454"/>
    </row>
    <row r="53" spans="1:46">
      <c r="A53" s="468"/>
      <c r="B53" s="468"/>
      <c r="C53" s="468"/>
      <c r="D53" s="468"/>
      <c r="E53" s="468"/>
      <c r="F53" s="468"/>
      <c r="G53" s="468"/>
      <c r="H53" s="468"/>
      <c r="I53" s="468"/>
      <c r="J53" s="471"/>
      <c r="K53" s="471"/>
      <c r="L53" s="471"/>
      <c r="M53" s="471"/>
      <c r="N53" s="468"/>
      <c r="O53" s="468"/>
      <c r="P53" s="468"/>
      <c r="R53" s="449"/>
      <c r="Z53" s="453"/>
      <c r="AA53" s="454"/>
      <c r="AC53" s="454"/>
      <c r="AD53" s="454"/>
      <c r="AE53" s="453"/>
      <c r="AF53" s="456"/>
      <c r="AH53" s="453"/>
      <c r="AL53" s="454"/>
      <c r="AM53" s="454"/>
      <c r="AN53" s="454"/>
      <c r="AO53" s="454"/>
      <c r="AP53" s="454"/>
      <c r="AQ53" s="454"/>
      <c r="AR53" s="454"/>
      <c r="AS53" s="454"/>
      <c r="AT53" s="454"/>
    </row>
    <row r="54" spans="1:46" ht="15.75">
      <c r="A54" s="468"/>
      <c r="B54" s="468"/>
      <c r="C54" s="468"/>
      <c r="D54" s="468"/>
      <c r="E54" s="468"/>
      <c r="F54" s="468"/>
      <c r="G54" s="468"/>
      <c r="H54" s="468"/>
      <c r="I54" s="468"/>
      <c r="J54" s="468"/>
      <c r="K54" s="471"/>
      <c r="L54" s="471"/>
      <c r="M54" s="471"/>
      <c r="N54" s="468"/>
      <c r="O54" s="468"/>
      <c r="P54" s="468"/>
      <c r="R54" s="449"/>
      <c r="S54" s="449" t="s">
        <v>1185</v>
      </c>
      <c r="T54" s="454"/>
      <c r="U54" s="491"/>
      <c r="W54" s="490" t="s">
        <v>1184</v>
      </c>
      <c r="X54" s="489"/>
      <c r="Y54" s="489"/>
      <c r="Z54" s="489"/>
      <c r="AC54" s="454"/>
      <c r="AF54" s="456"/>
      <c r="AH54" s="453"/>
      <c r="AL54" s="454"/>
      <c r="AM54" s="454"/>
      <c r="AN54" s="454"/>
      <c r="AO54" s="454"/>
      <c r="AP54" s="454"/>
      <c r="AQ54" s="454"/>
      <c r="AR54" s="454"/>
      <c r="AS54" s="454"/>
      <c r="AT54" s="454"/>
    </row>
    <row r="55" spans="1:46">
      <c r="A55" s="468"/>
      <c r="B55" s="468"/>
      <c r="C55" s="468"/>
      <c r="D55" s="468"/>
      <c r="E55" s="468"/>
      <c r="F55" s="468"/>
      <c r="G55" s="468"/>
      <c r="H55" s="468"/>
      <c r="I55" s="468"/>
      <c r="J55" s="468"/>
      <c r="K55" s="468"/>
      <c r="L55" s="480"/>
      <c r="M55" s="480"/>
      <c r="N55" s="468"/>
      <c r="O55" s="468"/>
      <c r="P55" s="468"/>
      <c r="R55" s="738"/>
      <c r="S55" s="744" t="s">
        <v>451</v>
      </c>
      <c r="T55" s="744" t="s">
        <v>573</v>
      </c>
      <c r="U55" s="743" t="s">
        <v>1183</v>
      </c>
      <c r="W55" s="742" t="s">
        <v>1182</v>
      </c>
      <c r="X55" s="741">
        <v>5.7225999999999999</v>
      </c>
      <c r="Y55" s="740" t="s">
        <v>1181</v>
      </c>
      <c r="Z55" s="739">
        <v>5.6985000000000001</v>
      </c>
      <c r="AA55" s="450"/>
      <c r="AC55" s="454"/>
      <c r="AH55" s="453"/>
    </row>
    <row r="56" spans="1:46">
      <c r="A56" s="468"/>
      <c r="B56" s="468"/>
      <c r="C56" s="468"/>
      <c r="D56" s="468"/>
      <c r="E56" s="468"/>
      <c r="F56" s="468"/>
      <c r="G56" s="468"/>
      <c r="H56" s="468"/>
      <c r="I56" s="468"/>
      <c r="J56" s="480"/>
      <c r="K56" s="468"/>
      <c r="L56" s="480"/>
      <c r="M56" s="480"/>
      <c r="N56" s="468"/>
      <c r="O56" s="468"/>
      <c r="P56" s="468"/>
      <c r="R56" s="451" t="s">
        <v>1180</v>
      </c>
      <c r="S56" s="484">
        <v>0.56200000000000006</v>
      </c>
      <c r="T56" s="484">
        <v>6.3799999999999996E-2</v>
      </c>
      <c r="U56" s="464">
        <f>ROUND(+S56*T56,5)</f>
        <v>3.5860000000000003E-2</v>
      </c>
      <c r="W56" s="488" t="s">
        <v>1179</v>
      </c>
      <c r="X56" s="487">
        <v>5.7082699999999997</v>
      </c>
      <c r="Y56" s="486" t="s">
        <v>1178</v>
      </c>
      <c r="Z56" s="485">
        <v>5.6921999999999997</v>
      </c>
      <c r="AA56" s="454"/>
      <c r="AC56" s="454"/>
      <c r="AD56" s="454"/>
      <c r="AE56" s="453"/>
      <c r="AH56" s="453"/>
    </row>
    <row r="57" spans="1:46">
      <c r="A57" s="468"/>
      <c r="B57" s="468"/>
      <c r="C57" s="468"/>
      <c r="D57" s="468"/>
      <c r="E57" s="471"/>
      <c r="F57" s="468"/>
      <c r="G57" s="468"/>
      <c r="H57" s="468"/>
      <c r="I57" s="468"/>
      <c r="J57" s="480"/>
      <c r="K57" s="468"/>
      <c r="L57" s="480"/>
      <c r="M57" s="480"/>
      <c r="N57" s="468"/>
      <c r="O57" s="468"/>
      <c r="P57" s="468"/>
      <c r="R57" s="451" t="s">
        <v>1177</v>
      </c>
      <c r="S57" s="484">
        <v>9.4E-2</v>
      </c>
      <c r="T57" s="484">
        <v>6.59E-2</v>
      </c>
      <c r="U57" s="464">
        <f>ROUND(+S57*T57,5)</f>
        <v>6.1900000000000002E-3</v>
      </c>
      <c r="W57" s="451"/>
      <c r="X57" s="463"/>
      <c r="Y57" s="483"/>
      <c r="Z57" s="482"/>
      <c r="AA57" s="454"/>
      <c r="AC57" s="454"/>
      <c r="AD57" s="454"/>
      <c r="AE57" s="453"/>
      <c r="AF57" s="456"/>
      <c r="AH57" s="453"/>
      <c r="AL57" s="454"/>
    </row>
    <row r="58" spans="1:46" ht="15.75">
      <c r="A58" s="468"/>
      <c r="B58" s="468"/>
      <c r="C58" s="468"/>
      <c r="D58" s="468"/>
      <c r="E58" s="471"/>
      <c r="F58" s="471"/>
      <c r="G58" s="471"/>
      <c r="H58" s="481"/>
      <c r="I58" s="471"/>
      <c r="J58" s="480"/>
      <c r="K58" s="468"/>
      <c r="L58" s="468"/>
      <c r="M58" s="468"/>
      <c r="N58" s="468"/>
      <c r="O58" s="468"/>
      <c r="P58" s="468"/>
      <c r="R58" s="451" t="s">
        <v>1176</v>
      </c>
      <c r="S58" s="475">
        <v>0.34399999999999997</v>
      </c>
      <c r="T58" s="462"/>
      <c r="U58" s="479"/>
      <c r="W58" s="460"/>
      <c r="X58" s="478" t="s">
        <v>1175</v>
      </c>
      <c r="Y58" s="477">
        <v>0.68367</v>
      </c>
      <c r="Z58" s="476"/>
      <c r="AA58" s="454"/>
      <c r="AC58" s="454"/>
      <c r="AD58" s="454"/>
      <c r="AE58" s="453"/>
      <c r="AF58" s="456"/>
      <c r="AH58" s="453"/>
    </row>
    <row r="59" spans="1:46" ht="15.75">
      <c r="A59" s="468"/>
      <c r="B59" s="468"/>
      <c r="C59" s="468"/>
      <c r="D59" s="468"/>
      <c r="E59" s="468"/>
      <c r="F59" s="468"/>
      <c r="G59" s="468"/>
      <c r="H59" s="468"/>
      <c r="I59" s="468"/>
      <c r="J59" s="468"/>
      <c r="K59" s="468"/>
      <c r="L59" s="468"/>
      <c r="M59" s="468"/>
      <c r="N59" s="468"/>
      <c r="O59" s="468"/>
      <c r="P59" s="468"/>
      <c r="R59" s="460"/>
      <c r="S59" s="475">
        <f>SUM(S56:S58)</f>
        <v>1</v>
      </c>
      <c r="T59" s="474"/>
      <c r="U59" s="473"/>
      <c r="X59" s="454"/>
      <c r="Y59" s="455"/>
      <c r="Z59" s="453"/>
      <c r="AA59" s="454"/>
      <c r="AC59" s="454"/>
      <c r="AD59" s="454"/>
      <c r="AE59" s="453"/>
      <c r="AF59" s="456"/>
      <c r="AH59" s="453"/>
    </row>
    <row r="60" spans="1:46">
      <c r="A60" s="468"/>
      <c r="B60" s="468"/>
      <c r="C60" s="468"/>
      <c r="D60" s="468"/>
      <c r="E60" s="468"/>
      <c r="F60" s="468"/>
      <c r="G60" s="468"/>
      <c r="H60" s="468"/>
      <c r="I60" s="468"/>
      <c r="J60" s="468"/>
      <c r="K60" s="468"/>
      <c r="L60" s="468"/>
      <c r="M60" s="468"/>
      <c r="N60" s="468"/>
      <c r="O60" s="468"/>
      <c r="P60" s="468"/>
      <c r="X60" s="472"/>
      <c r="AC60" s="454"/>
      <c r="AF60" s="456"/>
      <c r="AH60" s="453"/>
      <c r="AL60" s="456"/>
      <c r="AM60" s="456"/>
      <c r="AN60" s="456"/>
      <c r="AO60" s="456"/>
      <c r="AP60" s="456"/>
      <c r="AQ60" s="456"/>
      <c r="AR60" s="456"/>
      <c r="AS60" s="456"/>
      <c r="AT60" s="456"/>
    </row>
    <row r="61" spans="1:46">
      <c r="A61" s="468"/>
      <c r="B61" s="468"/>
      <c r="C61" s="468"/>
      <c r="D61" s="468"/>
      <c r="E61" s="471"/>
      <c r="F61" s="468"/>
      <c r="G61" s="468"/>
      <c r="H61" s="468"/>
      <c r="I61" s="468"/>
      <c r="J61" s="468"/>
      <c r="K61" s="468"/>
      <c r="L61" s="468"/>
      <c r="M61" s="468"/>
      <c r="N61" s="468"/>
      <c r="O61" s="468"/>
      <c r="P61" s="468"/>
      <c r="W61" s="738" t="s">
        <v>1174</v>
      </c>
      <c r="X61" s="737"/>
      <c r="Y61" s="736" t="s">
        <v>1173</v>
      </c>
      <c r="Z61" s="735" t="s">
        <v>1172</v>
      </c>
      <c r="AC61" s="454"/>
      <c r="AH61" s="453"/>
      <c r="AL61" s="456"/>
      <c r="AM61" s="456"/>
      <c r="AN61" s="456"/>
      <c r="AO61" s="456"/>
      <c r="AP61" s="456"/>
      <c r="AQ61" s="456"/>
      <c r="AR61" s="456"/>
      <c r="AS61" s="456"/>
      <c r="AT61" s="456"/>
    </row>
    <row r="62" spans="1:46">
      <c r="A62" s="468"/>
      <c r="B62" s="468"/>
      <c r="C62" s="468"/>
      <c r="D62" s="468"/>
      <c r="E62" s="468"/>
      <c r="F62" s="471"/>
      <c r="G62" s="471"/>
      <c r="H62" s="471"/>
      <c r="I62" s="471"/>
      <c r="J62" s="471"/>
      <c r="K62" s="471"/>
      <c r="L62" s="471"/>
      <c r="M62" s="471"/>
      <c r="N62" s="471"/>
      <c r="O62" s="468"/>
      <c r="P62" s="468"/>
      <c r="W62" s="470"/>
      <c r="X62" s="467"/>
      <c r="Y62" s="467"/>
      <c r="Z62" s="469"/>
      <c r="AC62" s="454"/>
      <c r="AD62" s="454"/>
      <c r="AE62" s="453"/>
      <c r="AH62" s="453"/>
      <c r="AL62" s="456"/>
      <c r="AM62" s="456"/>
      <c r="AN62" s="456"/>
      <c r="AO62" s="456"/>
      <c r="AP62" s="456"/>
      <c r="AQ62" s="456"/>
      <c r="AR62" s="456"/>
      <c r="AS62" s="456"/>
      <c r="AT62" s="456"/>
    </row>
    <row r="63" spans="1:46">
      <c r="A63" s="468"/>
      <c r="B63" s="468"/>
      <c r="C63" s="468"/>
      <c r="D63" s="468"/>
      <c r="E63" s="468"/>
      <c r="F63" s="468"/>
      <c r="G63" s="468"/>
      <c r="H63" s="468"/>
      <c r="I63" s="468"/>
      <c r="J63" s="468"/>
      <c r="K63" s="468"/>
      <c r="L63" s="468"/>
      <c r="M63" s="468"/>
      <c r="N63" s="468"/>
      <c r="O63" s="468"/>
      <c r="P63" s="468"/>
      <c r="W63" s="451" t="s">
        <v>1171</v>
      </c>
      <c r="X63" s="467"/>
      <c r="Y63" s="464">
        <f t="shared" ref="Y63:Z68" ca="1" si="1">+J33</f>
        <v>0.22688985598035408</v>
      </c>
      <c r="Z63" s="464">
        <f t="shared" ca="1" si="1"/>
        <v>0.18344298622447974</v>
      </c>
      <c r="AC63" s="454"/>
      <c r="AD63" s="454"/>
      <c r="AE63" s="453"/>
      <c r="AF63" s="456"/>
      <c r="AH63" s="453"/>
      <c r="AL63" s="456"/>
      <c r="AM63" s="456"/>
      <c r="AN63" s="456"/>
      <c r="AO63" s="456"/>
      <c r="AP63" s="456"/>
      <c r="AQ63" s="456"/>
      <c r="AR63" s="456"/>
      <c r="AS63" s="456"/>
      <c r="AT63" s="456"/>
    </row>
    <row r="64" spans="1:46">
      <c r="A64" s="468"/>
      <c r="B64" s="468"/>
      <c r="C64" s="468"/>
      <c r="D64" s="468"/>
      <c r="E64" s="468"/>
      <c r="F64" s="468"/>
      <c r="G64" s="468"/>
      <c r="H64" s="468"/>
      <c r="I64" s="468"/>
      <c r="J64" s="468"/>
      <c r="K64" s="468"/>
      <c r="L64" s="468"/>
      <c r="M64" s="468"/>
      <c r="N64" s="468"/>
      <c r="O64" s="468"/>
      <c r="P64" s="468"/>
      <c r="W64" s="451" t="s">
        <v>1170</v>
      </c>
      <c r="X64" s="467"/>
      <c r="Y64" s="464">
        <f t="shared" ca="1" si="1"/>
        <v>0.34481642663392348</v>
      </c>
      <c r="Z64" s="464">
        <f t="shared" ca="1" si="1"/>
        <v>0.27240497704079958</v>
      </c>
      <c r="AC64" s="454"/>
      <c r="AD64" s="454"/>
      <c r="AE64" s="453"/>
      <c r="AF64" s="456"/>
      <c r="AH64" s="453"/>
    </row>
    <row r="65" spans="1:38">
      <c r="A65" s="449" t="b">
        <v>1</v>
      </c>
      <c r="F65" s="468"/>
      <c r="G65" s="468"/>
      <c r="H65" s="468"/>
      <c r="I65" s="468"/>
      <c r="J65" s="468"/>
      <c r="K65" s="468"/>
      <c r="L65" s="468"/>
      <c r="M65" s="468"/>
      <c r="N65" s="468"/>
      <c r="W65" s="451" t="s">
        <v>1169</v>
      </c>
      <c r="X65" s="467"/>
      <c r="Y65" s="464">
        <f t="shared" ca="1" si="1"/>
        <v>0.93128</v>
      </c>
      <c r="Z65" s="464">
        <f t="shared" ca="1" si="1"/>
        <v>0.93105026896399379</v>
      </c>
      <c r="AC65" s="454"/>
      <c r="AD65" s="454"/>
      <c r="AE65" s="453"/>
      <c r="AF65" s="456"/>
      <c r="AH65" s="453"/>
    </row>
    <row r="66" spans="1:38">
      <c r="H66" s="456"/>
      <c r="I66" s="456"/>
      <c r="J66" s="456"/>
      <c r="K66" s="456"/>
      <c r="L66" s="456"/>
      <c r="M66" s="456"/>
      <c r="N66" s="456"/>
      <c r="O66" s="456"/>
      <c r="W66" s="451" t="s">
        <v>1168</v>
      </c>
      <c r="X66" s="467"/>
      <c r="Y66" s="464">
        <f t="shared" ca="1" si="1"/>
        <v>6.8720000000000003E-2</v>
      </c>
      <c r="Z66" s="464">
        <f t="shared" ca="1" si="1"/>
        <v>6.8720000000000003E-2</v>
      </c>
      <c r="AC66" s="454"/>
      <c r="AF66" s="456"/>
      <c r="AH66" s="453"/>
      <c r="AL66" s="456"/>
    </row>
    <row r="67" spans="1:38">
      <c r="H67" s="456"/>
      <c r="I67" s="456"/>
      <c r="J67" s="456"/>
      <c r="K67" s="456"/>
      <c r="L67" s="456"/>
      <c r="M67" s="456"/>
      <c r="N67" s="456"/>
      <c r="O67" s="456"/>
      <c r="W67" s="451" t="s">
        <v>1167</v>
      </c>
      <c r="X67" s="466"/>
      <c r="Y67" s="464">
        <f t="shared" ca="1" si="1"/>
        <v>3.2888368131565948</v>
      </c>
      <c r="Z67" s="464">
        <f t="shared" ca="1" si="1"/>
        <v>3.2888368131565948</v>
      </c>
      <c r="AC67" s="454"/>
      <c r="AH67" s="453"/>
    </row>
    <row r="68" spans="1:38">
      <c r="O68" s="456"/>
      <c r="W68" s="451" t="s">
        <v>178</v>
      </c>
      <c r="X68" s="465"/>
      <c r="Y68" s="464">
        <f t="shared" si="1"/>
        <v>0.21</v>
      </c>
      <c r="Z68" s="464">
        <f t="shared" si="1"/>
        <v>0.21</v>
      </c>
      <c r="AC68" s="454"/>
      <c r="AD68" s="454"/>
      <c r="AE68" s="453"/>
      <c r="AH68" s="453"/>
    </row>
    <row r="69" spans="1:38" ht="15.75">
      <c r="O69" s="456"/>
      <c r="W69" s="451"/>
      <c r="X69" s="463"/>
      <c r="Y69" s="462"/>
      <c r="Z69" s="461"/>
      <c r="AC69" s="454"/>
      <c r="AD69" s="454"/>
      <c r="AE69" s="453"/>
      <c r="AF69" s="456"/>
      <c r="AH69" s="453"/>
    </row>
    <row r="70" spans="1:38">
      <c r="O70" s="456"/>
      <c r="W70" s="460"/>
      <c r="X70" s="459"/>
      <c r="Y70" s="458"/>
      <c r="Z70" s="457"/>
      <c r="AA70" s="454"/>
      <c r="AC70" s="454"/>
      <c r="AD70" s="454"/>
      <c r="AE70" s="453"/>
      <c r="AF70" s="456"/>
      <c r="AH70" s="453"/>
    </row>
    <row r="71" spans="1:38">
      <c r="X71" s="454"/>
      <c r="Y71" s="455"/>
      <c r="Z71" s="453"/>
      <c r="AA71" s="454"/>
      <c r="AC71" s="454"/>
      <c r="AD71" s="454"/>
      <c r="AE71" s="453"/>
      <c r="AF71" s="456"/>
      <c r="AH71" s="453"/>
    </row>
    <row r="72" spans="1:38">
      <c r="AC72" s="454"/>
      <c r="AF72" s="456"/>
      <c r="AH72" s="453"/>
    </row>
    <row r="73" spans="1:38">
      <c r="Y73" s="450"/>
      <c r="Z73" s="450"/>
      <c r="AA73" s="450"/>
      <c r="AC73" s="454"/>
      <c r="AH73" s="453"/>
    </row>
    <row r="74" spans="1:38">
      <c r="X74" s="454"/>
      <c r="Y74" s="455"/>
      <c r="Z74" s="453"/>
      <c r="AA74" s="454"/>
      <c r="AC74" s="454"/>
      <c r="AD74" s="454"/>
      <c r="AE74" s="453"/>
      <c r="AH74" s="453"/>
    </row>
    <row r="75" spans="1:38">
      <c r="X75" s="454"/>
      <c r="Y75" s="455"/>
      <c r="Z75" s="453"/>
      <c r="AA75" s="454"/>
      <c r="AC75" s="454"/>
      <c r="AD75" s="454"/>
      <c r="AE75" s="453"/>
      <c r="AF75" s="456"/>
      <c r="AH75" s="453"/>
    </row>
    <row r="76" spans="1:38">
      <c r="X76" s="454"/>
      <c r="Y76" s="455"/>
      <c r="Z76" s="453"/>
      <c r="AA76" s="454"/>
      <c r="AC76" s="454"/>
      <c r="AD76" s="454"/>
      <c r="AE76" s="453"/>
      <c r="AF76" s="456"/>
      <c r="AH76" s="453"/>
    </row>
    <row r="77" spans="1:38">
      <c r="X77" s="454"/>
      <c r="Y77" s="455"/>
      <c r="Z77" s="453"/>
      <c r="AA77" s="454"/>
      <c r="AC77" s="454"/>
      <c r="AD77" s="454"/>
      <c r="AE77" s="453"/>
      <c r="AF77" s="456"/>
      <c r="AH77" s="453"/>
    </row>
    <row r="78" spans="1:38">
      <c r="AC78" s="454"/>
      <c r="AF78" s="456"/>
      <c r="AH78" s="453"/>
    </row>
    <row r="80" spans="1:38">
      <c r="X80" s="454"/>
      <c r="Y80" s="455"/>
      <c r="Z80" s="453"/>
      <c r="AA80" s="454"/>
      <c r="AD80" s="454"/>
      <c r="AE80" s="453"/>
    </row>
    <row r="81" spans="24:32">
      <c r="X81" s="454"/>
      <c r="Y81" s="455"/>
      <c r="Z81" s="453"/>
      <c r="AA81" s="454"/>
      <c r="AD81" s="454"/>
      <c r="AE81" s="453"/>
      <c r="AF81" s="456"/>
    </row>
    <row r="82" spans="24:32">
      <c r="X82" s="454"/>
      <c r="Y82" s="455"/>
      <c r="Z82" s="453"/>
      <c r="AA82" s="454"/>
      <c r="AD82" s="454"/>
      <c r="AE82" s="453"/>
      <c r="AF82" s="456"/>
    </row>
    <row r="83" spans="24:32">
      <c r="X83" s="454"/>
      <c r="Y83" s="455"/>
      <c r="Z83" s="453"/>
      <c r="AA83" s="454"/>
      <c r="AD83" s="454"/>
      <c r="AE83" s="453"/>
      <c r="AF83" s="456"/>
    </row>
    <row r="84" spans="24:32">
      <c r="AF84" s="456"/>
    </row>
    <row r="86" spans="24:32">
      <c r="X86" s="454"/>
      <c r="Y86" s="455"/>
      <c r="Z86" s="453"/>
      <c r="AA86" s="454"/>
      <c r="AD86" s="454"/>
      <c r="AE86" s="453"/>
    </row>
    <row r="87" spans="24:32">
      <c r="X87" s="454"/>
      <c r="Y87" s="455"/>
      <c r="Z87" s="453"/>
      <c r="AA87" s="454"/>
      <c r="AD87" s="454"/>
      <c r="AE87" s="453"/>
      <c r="AF87" s="456"/>
    </row>
    <row r="88" spans="24:32">
      <c r="X88" s="454"/>
      <c r="Y88" s="455"/>
      <c r="Z88" s="453"/>
      <c r="AA88" s="454"/>
      <c r="AD88" s="454"/>
      <c r="AE88" s="453"/>
      <c r="AF88" s="456"/>
    </row>
    <row r="89" spans="24:32">
      <c r="X89" s="454"/>
      <c r="Y89" s="455"/>
      <c r="Z89" s="453"/>
      <c r="AA89" s="454"/>
      <c r="AD89" s="454"/>
      <c r="AE89" s="453"/>
      <c r="AF89" s="456"/>
    </row>
    <row r="90" spans="24:32">
      <c r="AF90" s="456"/>
    </row>
    <row r="92" spans="24:32">
      <c r="X92" s="454"/>
      <c r="Y92" s="455"/>
      <c r="Z92" s="453"/>
      <c r="AA92" s="454"/>
      <c r="AD92" s="454"/>
      <c r="AE92" s="453"/>
    </row>
    <row r="93" spans="24:32">
      <c r="X93" s="454"/>
      <c r="Y93" s="455"/>
      <c r="Z93" s="453"/>
      <c r="AA93" s="454"/>
      <c r="AD93" s="454"/>
      <c r="AE93" s="453"/>
      <c r="AF93" s="456"/>
    </row>
    <row r="94" spans="24:32">
      <c r="X94" s="454"/>
      <c r="Y94" s="455"/>
      <c r="Z94" s="453"/>
      <c r="AA94" s="454"/>
      <c r="AD94" s="454"/>
      <c r="AE94" s="453"/>
      <c r="AF94" s="456"/>
    </row>
    <row r="95" spans="24:32">
      <c r="X95" s="454"/>
      <c r="Y95" s="455"/>
      <c r="Z95" s="453"/>
      <c r="AA95" s="454"/>
      <c r="AD95" s="454"/>
      <c r="AE95" s="453"/>
      <c r="AF95" s="456"/>
    </row>
    <row r="96" spans="24:32">
      <c r="AF96" s="456"/>
    </row>
    <row r="98" spans="24:32">
      <c r="X98" s="454"/>
      <c r="Y98" s="455"/>
      <c r="Z98" s="453"/>
      <c r="AA98" s="454"/>
      <c r="AD98" s="454"/>
      <c r="AE98" s="453"/>
    </row>
    <row r="99" spans="24:32">
      <c r="X99" s="454"/>
      <c r="Y99" s="455"/>
      <c r="Z99" s="453"/>
      <c r="AA99" s="454"/>
      <c r="AD99" s="454"/>
      <c r="AE99" s="453"/>
      <c r="AF99" s="456"/>
    </row>
    <row r="100" spans="24:32">
      <c r="X100" s="454"/>
      <c r="Y100" s="455"/>
      <c r="Z100" s="453"/>
      <c r="AA100" s="454"/>
      <c r="AD100" s="454"/>
      <c r="AE100" s="453"/>
      <c r="AF100" s="456"/>
    </row>
    <row r="101" spans="24:32">
      <c r="X101" s="454"/>
      <c r="Y101" s="455"/>
      <c r="Z101" s="453"/>
      <c r="AA101" s="454"/>
      <c r="AD101" s="454"/>
      <c r="AE101" s="453"/>
      <c r="AF101" s="456"/>
    </row>
    <row r="102" spans="24:32">
      <c r="AF102" s="456"/>
    </row>
    <row r="104" spans="24:32">
      <c r="X104" s="454"/>
      <c r="Y104" s="455"/>
      <c r="Z104" s="453"/>
      <c r="AA104" s="454"/>
      <c r="AD104" s="454"/>
      <c r="AE104" s="453"/>
    </row>
    <row r="105" spans="24:32">
      <c r="X105" s="454"/>
      <c r="Y105" s="455"/>
      <c r="Z105" s="453"/>
      <c r="AA105" s="454"/>
      <c r="AD105" s="454"/>
      <c r="AE105" s="453"/>
      <c r="AF105" s="456"/>
    </row>
    <row r="106" spans="24:32">
      <c r="X106" s="454"/>
      <c r="Y106" s="455"/>
      <c r="Z106" s="453"/>
      <c r="AA106" s="454"/>
      <c r="AD106" s="454"/>
      <c r="AE106" s="453"/>
      <c r="AF106" s="456"/>
    </row>
    <row r="107" spans="24:32">
      <c r="X107" s="454"/>
      <c r="Y107" s="455"/>
      <c r="Z107" s="453"/>
      <c r="AA107" s="454"/>
      <c r="AD107" s="454"/>
      <c r="AE107" s="453"/>
      <c r="AF107" s="456"/>
    </row>
    <row r="108" spans="24:32">
      <c r="AF108" s="456"/>
    </row>
    <row r="110" spans="24:32">
      <c r="X110" s="454"/>
      <c r="Y110" s="455"/>
      <c r="Z110" s="453"/>
      <c r="AA110" s="454"/>
      <c r="AD110" s="454"/>
      <c r="AE110" s="453"/>
    </row>
    <row r="111" spans="24:32">
      <c r="X111" s="454"/>
      <c r="Y111" s="455"/>
      <c r="Z111" s="453"/>
      <c r="AA111" s="454"/>
      <c r="AD111" s="454"/>
      <c r="AE111" s="453"/>
    </row>
    <row r="112" spans="24:32">
      <c r="X112" s="454"/>
      <c r="Y112" s="455"/>
      <c r="Z112" s="453"/>
      <c r="AA112" s="454"/>
      <c r="AD112" s="454"/>
      <c r="AE112" s="453"/>
    </row>
    <row r="113" spans="24:31">
      <c r="X113" s="454"/>
      <c r="Y113" s="455"/>
      <c r="Z113" s="453"/>
      <c r="AA113" s="454"/>
      <c r="AD113" s="454"/>
      <c r="AE113" s="453"/>
    </row>
  </sheetData>
  <mergeCells count="6">
    <mergeCell ref="B18:C18"/>
    <mergeCell ref="B2:C2"/>
    <mergeCell ref="AF2:AI2"/>
    <mergeCell ref="B15:C15"/>
    <mergeCell ref="C16:D16"/>
    <mergeCell ref="B17:C17"/>
  </mergeCells>
  <pageMargins left="0.25" right="0.25" top="0.3" bottom="0.44" header="0.23" footer="0.21"/>
  <pageSetup scale="9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64193" r:id="rId4" name="CheckBox1">
          <controlPr defaultSize="0" autoFill="0" autoLine="0" linkedCell="A65" r:id="rId5">
            <anchor moveWithCells="1">
              <from>
                <xdr:col>2</xdr:col>
                <xdr:colOff>95250</xdr:colOff>
                <xdr:row>14</xdr:row>
                <xdr:rowOff>171450</xdr:rowOff>
              </from>
              <to>
                <xdr:col>2</xdr:col>
                <xdr:colOff>361950</xdr:colOff>
                <xdr:row>16</xdr:row>
                <xdr:rowOff>19050</xdr:rowOff>
              </to>
            </anchor>
          </controlPr>
        </control>
      </mc:Choice>
      <mc:Fallback>
        <control shapeId="264193" r:id="rId4" name="CheckBox1"/>
      </mc:Fallback>
    </mc:AlternateContent>
  </controls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88"/>
  <sheetViews>
    <sheetView topLeftCell="A67" workbookViewId="0">
      <selection activeCell="F4" sqref="F4"/>
    </sheetView>
  </sheetViews>
  <sheetFormatPr defaultRowHeight="12.75"/>
  <cols>
    <col min="4" max="4" width="12.42578125" customWidth="1"/>
    <col min="5" max="5" width="10.28515625" bestFit="1" customWidth="1"/>
    <col min="11" max="11" width="12.5703125" customWidth="1"/>
    <col min="12" max="12" width="9.28515625" bestFit="1" customWidth="1"/>
    <col min="14" max="14" width="19.5703125" customWidth="1"/>
    <col min="15" max="15" width="9.140625" customWidth="1"/>
    <col min="16" max="17" width="10.5703125" customWidth="1"/>
    <col min="20" max="20" width="14" bestFit="1" customWidth="1"/>
    <col min="21" max="21" width="12.28515625" bestFit="1" customWidth="1"/>
    <col min="22" max="23" width="11.28515625" bestFit="1" customWidth="1"/>
  </cols>
  <sheetData>
    <row r="1" spans="1:23">
      <c r="A1" t="s">
        <v>0</v>
      </c>
    </row>
    <row r="3" spans="1:23">
      <c r="A3" t="s">
        <v>491</v>
      </c>
      <c r="E3" s="643" t="s">
        <v>1342</v>
      </c>
      <c r="F3" s="643" t="s">
        <v>689</v>
      </c>
    </row>
    <row r="5" spans="1:23">
      <c r="A5" s="642" t="s">
        <v>1480</v>
      </c>
    </row>
    <row r="6" spans="1:23">
      <c r="A6" s="83" t="s">
        <v>326</v>
      </c>
    </row>
    <row r="7" spans="1:23">
      <c r="E7" s="2" t="s">
        <v>473</v>
      </c>
      <c r="F7" s="2" t="s">
        <v>472</v>
      </c>
      <c r="G7" s="2" t="s">
        <v>471</v>
      </c>
      <c r="H7" s="2"/>
      <c r="O7" t="s">
        <v>1156</v>
      </c>
      <c r="P7" s="2"/>
      <c r="Q7" s="2"/>
      <c r="R7" s="2"/>
    </row>
    <row r="8" spans="1:23">
      <c r="A8" t="s">
        <v>490</v>
      </c>
      <c r="E8" s="2" t="s">
        <v>489</v>
      </c>
      <c r="F8" s="2" t="s">
        <v>489</v>
      </c>
      <c r="G8" s="2" t="s">
        <v>489</v>
      </c>
      <c r="H8" s="2"/>
      <c r="K8" t="s">
        <v>490</v>
      </c>
      <c r="O8" s="2" t="s">
        <v>104</v>
      </c>
      <c r="P8" s="2" t="s">
        <v>112</v>
      </c>
      <c r="Q8" s="2" t="s">
        <v>109</v>
      </c>
      <c r="R8" s="2"/>
      <c r="T8" s="2" t="s">
        <v>104</v>
      </c>
      <c r="U8" s="2" t="s">
        <v>112</v>
      </c>
      <c r="V8" s="2" t="s">
        <v>109</v>
      </c>
    </row>
    <row r="10" spans="1:23">
      <c r="B10" t="s">
        <v>488</v>
      </c>
      <c r="E10" s="11">
        <f>+E25</f>
        <v>0.73922775998654022</v>
      </c>
      <c r="F10" s="11">
        <f>+E26</f>
        <v>6.2839575179940349E-2</v>
      </c>
      <c r="G10" s="11">
        <f>+E27</f>
        <v>0.19793266483351937</v>
      </c>
      <c r="L10" t="s">
        <v>488</v>
      </c>
      <c r="O10" s="11">
        <f>T10/$W10</f>
        <v>0.85507696555718316</v>
      </c>
      <c r="P10" s="11">
        <f>U10/$W10</f>
        <v>0.10174836080015122</v>
      </c>
      <c r="Q10" s="11">
        <f>V10/$W10</f>
        <v>4.3174673642665612E-2</v>
      </c>
      <c r="T10" s="112">
        <f>'Staff Pro Forma'!I11+'Staff Pro Forma'!I14+'Staff Pro Forma'!I16+'Staff Pro Forma'!I17</f>
        <v>2386939.9210000001</v>
      </c>
      <c r="U10" s="112">
        <f>'Staff Pro Forma'!I12</f>
        <v>284029.66524999996</v>
      </c>
      <c r="V10" s="112">
        <f>'Staff Pro Forma'!I13</f>
        <v>120521.7264</v>
      </c>
      <c r="W10" s="382">
        <f>SUM(T10:V10)</f>
        <v>2791491.3126500002</v>
      </c>
    </row>
    <row r="11" spans="1:23">
      <c r="B11" t="s">
        <v>487</v>
      </c>
      <c r="E11" s="11">
        <f>+E35</f>
        <v>0.77569522433609861</v>
      </c>
      <c r="F11" s="11">
        <f>+E36</f>
        <v>5.7363362081592213E-2</v>
      </c>
      <c r="G11" s="11">
        <f>+E37</f>
        <v>0.16694141358230924</v>
      </c>
      <c r="L11" t="s">
        <v>487</v>
      </c>
      <c r="O11" s="11">
        <f t="shared" ref="O11:O12" si="0">T11/$W11</f>
        <v>0.84137621460603707</v>
      </c>
      <c r="P11" s="11">
        <f t="shared" ref="P11:P12" si="1">U11/$W11</f>
        <v>0.11136745935387544</v>
      </c>
      <c r="Q11" s="11">
        <f t="shared" ref="Q11:Q12" si="2">V11/$W11</f>
        <v>4.7256326040087462E-2</v>
      </c>
      <c r="T11" s="112">
        <f>'Staff Pro Forma'!I11+'Staff Pro Forma'!I16+'Staff Pro Forma'!I17</f>
        <v>2145831.5200000005</v>
      </c>
      <c r="U11" s="112">
        <f>'Staff Pro Forma'!I12</f>
        <v>284029.66524999996</v>
      </c>
      <c r="V11" s="112">
        <f>'Staff Pro Forma'!I13</f>
        <v>120521.7264</v>
      </c>
      <c r="W11" s="382">
        <f t="shared" ref="W11:W16" si="3">SUM(T11:V11)</f>
        <v>2550382.9116500006</v>
      </c>
    </row>
    <row r="12" spans="1:23">
      <c r="B12" t="s">
        <v>486</v>
      </c>
      <c r="E12" s="11">
        <f>+E44</f>
        <v>0.65730252193569272</v>
      </c>
      <c r="F12" s="11">
        <f>+E45</f>
        <v>9.3223831172004001E-2</v>
      </c>
      <c r="G12" s="11">
        <f>+E46</f>
        <v>0.24947364689230328</v>
      </c>
      <c r="L12" t="s">
        <v>1157</v>
      </c>
      <c r="O12" s="11">
        <f t="shared" si="0"/>
        <v>0.85661910885653969</v>
      </c>
      <c r="P12" s="11">
        <f t="shared" si="1"/>
        <v>0.10486749490808775</v>
      </c>
      <c r="Q12" s="11">
        <f t="shared" si="2"/>
        <v>3.8513396235372525E-2</v>
      </c>
      <c r="T12" s="112">
        <f>'Service Counts'!I78+'Service Counts'!R78+'Service Counts'!AA78</f>
        <v>67260.133833718239</v>
      </c>
      <c r="U12" s="112">
        <f>'Bridgeport Service Counts'!P31</f>
        <v>8234</v>
      </c>
      <c r="V12" s="112">
        <f>'Pateros Service Counts'!P35</f>
        <v>3024</v>
      </c>
      <c r="W12" s="382">
        <f t="shared" si="3"/>
        <v>78518.133833718239</v>
      </c>
    </row>
    <row r="13" spans="1:23">
      <c r="B13" t="s">
        <v>485</v>
      </c>
      <c r="E13" s="11">
        <f>+E55</f>
        <v>0.86061588330632088</v>
      </c>
      <c r="F13" s="11">
        <f>+E56</f>
        <v>6.4829821717990274E-2</v>
      </c>
      <c r="G13" s="11">
        <f>+E57</f>
        <v>7.4554294975688815E-2</v>
      </c>
      <c r="L13" s="432" t="s">
        <v>693</v>
      </c>
      <c r="M13" s="432"/>
      <c r="O13" s="11">
        <f>'Monthly Data-Container Count'!X16+'Monthly Data-Container Count'!X17+'Monthly Data-Container Count'!X18</f>
        <v>0.84267003313870914</v>
      </c>
      <c r="P13" s="11">
        <f>'Monthly Data-Container Count'!X14</f>
        <v>0.11377623481142496</v>
      </c>
      <c r="Q13" s="11">
        <f>'Monthly Data-Container Count'!X15</f>
        <v>4.3553732049865866E-2</v>
      </c>
      <c r="T13" s="112"/>
      <c r="U13" s="112"/>
      <c r="V13" s="112"/>
      <c r="W13" s="382">
        <f t="shared" si="3"/>
        <v>0</v>
      </c>
    </row>
    <row r="14" spans="1:23">
      <c r="B14" t="s">
        <v>484</v>
      </c>
      <c r="E14" s="11">
        <f>+E65</f>
        <v>0.77916197521708785</v>
      </c>
      <c r="F14" s="11">
        <f>+E66</f>
        <v>7.6867423026312817E-2</v>
      </c>
      <c r="G14" s="11">
        <f>+E67</f>
        <v>0.14397060175659929</v>
      </c>
      <c r="L14" t="s">
        <v>484</v>
      </c>
      <c r="O14" s="11">
        <f>'Hours &amp; Miles'!D25</f>
        <v>0.87465887247961149</v>
      </c>
      <c r="P14" s="11">
        <f>'Hours &amp; Miles'!E25</f>
        <v>8.6246265724825119E-2</v>
      </c>
      <c r="Q14" s="11">
        <f>'Hours &amp; Miles'!F25</f>
        <v>3.9094861795563422E-2</v>
      </c>
      <c r="T14" s="112"/>
      <c r="U14" s="112"/>
      <c r="V14" s="112"/>
      <c r="W14" s="382">
        <f t="shared" si="3"/>
        <v>0</v>
      </c>
    </row>
    <row r="15" spans="1:23">
      <c r="B15" t="s">
        <v>483</v>
      </c>
      <c r="E15" s="11">
        <f>+E74</f>
        <v>0.74522837278797116</v>
      </c>
      <c r="F15" s="11">
        <f>+E75</f>
        <v>9.4158465017321918E-2</v>
      </c>
      <c r="G15" s="11">
        <f>+E76</f>
        <v>0.16061316219470687</v>
      </c>
      <c r="L15" s="83" t="s">
        <v>1305</v>
      </c>
      <c r="O15" s="11">
        <f>'Hours &amp; Miles'!D47</f>
        <v>0.88066394806215664</v>
      </c>
      <c r="P15" s="11">
        <f>'Hours &amp; Miles'!E47</f>
        <v>8.167224062095027E-2</v>
      </c>
      <c r="Q15" s="11">
        <f>'Hours &amp; Miles'!F47</f>
        <v>3.7663811316893114E-2</v>
      </c>
      <c r="T15" s="112"/>
      <c r="U15" s="112"/>
      <c r="V15" s="112"/>
      <c r="W15" s="382">
        <f t="shared" si="3"/>
        <v>0</v>
      </c>
    </row>
    <row r="16" spans="1:23">
      <c r="B16" t="s">
        <v>482</v>
      </c>
      <c r="E16" s="161">
        <f>+E83</f>
        <v>0.69084107470656952</v>
      </c>
      <c r="F16" s="161">
        <f>+E84</f>
        <v>8.8571508038048613E-2</v>
      </c>
      <c r="G16" s="161">
        <f>+E85</f>
        <v>0.22058741725538189</v>
      </c>
      <c r="L16" t="s">
        <v>482</v>
      </c>
      <c r="O16" s="161">
        <f>'Hours &amp; Miles'!D71</f>
        <v>0.87501673176845662</v>
      </c>
      <c r="P16" s="161">
        <f>'Hours &amp; Miles'!E71</f>
        <v>8.0689713917180786E-2</v>
      </c>
      <c r="Q16" s="161">
        <f>'Hours &amp; Miles'!F71</f>
        <v>4.4293554314362549E-2</v>
      </c>
      <c r="T16" s="112"/>
      <c r="U16" s="112"/>
      <c r="V16" s="112"/>
      <c r="W16" s="382">
        <f t="shared" si="3"/>
        <v>0</v>
      </c>
    </row>
    <row r="18" spans="1:23">
      <c r="E18" s="42">
        <f>SUM(E10:E16)</f>
        <v>5.2480728122762805</v>
      </c>
      <c r="F18" s="42">
        <f>SUM(F10:F16)</f>
        <v>0.53785398623321012</v>
      </c>
      <c r="G18" s="42">
        <f>SUM(G10:G16)</f>
        <v>1.2140732014905087</v>
      </c>
      <c r="H18" s="42">
        <f>SUM(E18:G18)</f>
        <v>6.9999999999999991</v>
      </c>
      <c r="O18" s="42">
        <f>SUM(O10:O16)</f>
        <v>6.0260818744686944</v>
      </c>
      <c r="P18" s="42">
        <f>SUM(P10:P16)</f>
        <v>0.68036777013649552</v>
      </c>
      <c r="Q18" s="42">
        <f>SUM(Q10:Q16)</f>
        <v>0.29355035539481056</v>
      </c>
      <c r="R18" s="42">
        <f>SUM(O18:Q18)</f>
        <v>7</v>
      </c>
    </row>
    <row r="19" spans="1:23" ht="13.5" thickBot="1">
      <c r="E19" s="170"/>
      <c r="F19" s="170"/>
      <c r="G19" s="170"/>
      <c r="H19" s="169"/>
      <c r="O19" s="170"/>
      <c r="P19" s="170"/>
      <c r="Q19" s="170"/>
      <c r="R19" s="169"/>
    </row>
    <row r="20" spans="1:23" ht="13.5" thickBot="1">
      <c r="C20" t="s">
        <v>481</v>
      </c>
      <c r="E20" s="168">
        <f>+E18/H18</f>
        <v>0.74972468746804022</v>
      </c>
      <c r="F20" s="168">
        <f>+F18/H18</f>
        <v>7.6836283747601458E-2</v>
      </c>
      <c r="G20" s="168">
        <f>+G18/H18</f>
        <v>0.17343902878435841</v>
      </c>
      <c r="H20" s="167">
        <f>SUM(E20:G20)</f>
        <v>1</v>
      </c>
      <c r="M20" t="s">
        <v>481</v>
      </c>
      <c r="O20" s="168">
        <f>+O18/R18</f>
        <v>0.8608688392098135</v>
      </c>
      <c r="P20" s="168">
        <f>+P18/R18</f>
        <v>9.7195395733785078E-2</v>
      </c>
      <c r="Q20" s="168">
        <f>+Q18/R18</f>
        <v>4.1935765056401508E-2</v>
      </c>
      <c r="R20" s="167">
        <f>SUM(O20:Q20)</f>
        <v>1</v>
      </c>
    </row>
    <row r="23" spans="1:23">
      <c r="A23" t="s">
        <v>480</v>
      </c>
      <c r="K23" s="643" t="s">
        <v>1424</v>
      </c>
      <c r="O23" s="643" t="s">
        <v>104</v>
      </c>
      <c r="P23" s="643" t="s">
        <v>1425</v>
      </c>
      <c r="Q23" s="643" t="s">
        <v>337</v>
      </c>
      <c r="T23" s="643"/>
      <c r="U23" s="643"/>
      <c r="V23" s="643"/>
    </row>
    <row r="25" spans="1:23" ht="13.5" thickBot="1">
      <c r="A25" t="s">
        <v>476</v>
      </c>
      <c r="D25" s="6">
        <f>+'Service Counts'!J75</f>
        <v>1668076.8349999997</v>
      </c>
      <c r="E25" s="11">
        <f>+D25/D29</f>
        <v>0.73922775998654022</v>
      </c>
      <c r="J25" s="6"/>
      <c r="K25" s="11"/>
      <c r="L25" s="83" t="s">
        <v>1305</v>
      </c>
      <c r="O25" s="12">
        <f>'Hours &amp; Miles'!I47</f>
        <v>0.92742375833832935</v>
      </c>
      <c r="P25" s="12">
        <f>'Hours &amp; Miles'!K47</f>
        <v>4.9454634450320681E-2</v>
      </c>
      <c r="Q25" s="12">
        <f>'Hours &amp; Miles'!J47</f>
        <v>2.3121607211350103E-2</v>
      </c>
      <c r="T25" s="112"/>
      <c r="U25" s="112"/>
      <c r="V25" s="112"/>
      <c r="W25" s="382"/>
    </row>
    <row r="26" spans="1:23">
      <c r="A26" t="s">
        <v>472</v>
      </c>
      <c r="D26" s="6">
        <f>+'Service Counts'!S75</f>
        <v>141798.30000000002</v>
      </c>
      <c r="E26" s="11">
        <f>+D26/D29</f>
        <v>6.2839575179940349E-2</v>
      </c>
      <c r="J26" s="82"/>
      <c r="K26" s="96"/>
      <c r="T26" s="107"/>
      <c r="U26" s="122"/>
      <c r="W26" s="710"/>
    </row>
    <row r="27" spans="1:23">
      <c r="A27" t="s">
        <v>471</v>
      </c>
      <c r="D27" s="43">
        <f>+'Service Counts'!AB75</f>
        <v>446637.57365473447</v>
      </c>
      <c r="E27" s="161">
        <f>+D27/D29</f>
        <v>0.19793266483351937</v>
      </c>
      <c r="J27" s="82"/>
      <c r="K27" s="96"/>
    </row>
    <row r="28" spans="1:23">
      <c r="D28" s="6"/>
      <c r="E28" s="11"/>
      <c r="J28" s="82"/>
      <c r="K28" s="96"/>
      <c r="O28" s="170"/>
      <c r="P28" s="170"/>
      <c r="Q28" s="170"/>
      <c r="R28" s="170"/>
      <c r="S28" s="18"/>
    </row>
    <row r="29" spans="1:23" ht="13.5" thickBot="1">
      <c r="D29" s="8">
        <f>SUM(D25:D27)</f>
        <v>2256512.7086547343</v>
      </c>
      <c r="E29" s="14">
        <f>SUM(E25:E27)</f>
        <v>0.99999999999999989</v>
      </c>
      <c r="J29" s="82"/>
      <c r="K29" s="96"/>
      <c r="O29" s="170"/>
      <c r="P29" s="170"/>
      <c r="Q29" s="170"/>
      <c r="R29" s="170"/>
      <c r="S29" s="18"/>
    </row>
    <row r="30" spans="1:23" ht="13.5" thickTop="1">
      <c r="J30" s="18"/>
      <c r="K30" s="18"/>
      <c r="O30" s="96"/>
      <c r="P30" s="96"/>
      <c r="Q30" s="96"/>
      <c r="R30" s="170"/>
      <c r="S30" s="18"/>
    </row>
    <row r="31" spans="1:23">
      <c r="J31" s="18"/>
      <c r="K31" s="18"/>
      <c r="O31" s="18"/>
      <c r="P31" s="18"/>
      <c r="Q31" s="18"/>
      <c r="R31" s="18"/>
      <c r="S31" s="18"/>
    </row>
    <row r="32" spans="1:23">
      <c r="H32" t="s">
        <v>479</v>
      </c>
    </row>
    <row r="33" spans="1:12">
      <c r="A33" t="s">
        <v>478</v>
      </c>
      <c r="H33" t="s">
        <v>477</v>
      </c>
    </row>
    <row r="35" spans="1:12">
      <c r="A35" t="s">
        <v>476</v>
      </c>
      <c r="D35" s="6">
        <f>SUM('Service Counts'!J10:J50)+SUM('Service Counts'!J72:J73)</f>
        <v>1563681.3849999998</v>
      </c>
      <c r="E35" s="11">
        <f>+D35/D39</f>
        <v>0.77569522433609861</v>
      </c>
      <c r="H35" t="s">
        <v>476</v>
      </c>
      <c r="K35" s="6">
        <f>SUM('Service Counts'!J10:J50)+SUM('Service Counts'!J72:J73)+'Proforma AJEs'!$G$52</f>
        <v>1563681.3849999998</v>
      </c>
      <c r="L35" s="11">
        <f>+K35/K39</f>
        <v>0.77569522433609861</v>
      </c>
    </row>
    <row r="36" spans="1:12">
      <c r="A36" t="s">
        <v>472</v>
      </c>
      <c r="D36" s="6">
        <f>SUM('Service Counts'!S10:S50)+SUM('Service Counts'!S72:S73)</f>
        <v>115635.65000000001</v>
      </c>
      <c r="E36" s="11">
        <f>+D36/D39</f>
        <v>5.7363362081592213E-2</v>
      </c>
      <c r="H36" t="s">
        <v>472</v>
      </c>
      <c r="K36" s="6">
        <f>SUM('Service Counts'!S10:S50)+SUM('Service Counts'!S72:S73)+'Proforma AJEs'!$G$53</f>
        <v>115635.65000000001</v>
      </c>
      <c r="L36" s="11">
        <f>+K36/K39</f>
        <v>5.7363362081592213E-2</v>
      </c>
    </row>
    <row r="37" spans="1:12">
      <c r="A37" t="s">
        <v>471</v>
      </c>
      <c r="D37" s="43">
        <f>SUM('Service Counts'!AB10:AB50)+SUM('Service Counts'!AB72:AB73)</f>
        <v>336528.02365473442</v>
      </c>
      <c r="E37" s="161">
        <f>+D37/D39</f>
        <v>0.16694141358230924</v>
      </c>
      <c r="H37" t="s">
        <v>471</v>
      </c>
      <c r="K37" s="43">
        <f>SUM('Service Counts'!AB10:AB50)+SUM('Service Counts'!AB72:AB73)+'Proforma AJEs'!$G$54</f>
        <v>336528.02365473442</v>
      </c>
      <c r="L37" s="161">
        <f>+K37/K39</f>
        <v>0.16694141358230924</v>
      </c>
    </row>
    <row r="38" spans="1:12">
      <c r="D38" s="6"/>
      <c r="E38" s="11"/>
      <c r="K38" s="6"/>
      <c r="L38" s="11"/>
    </row>
    <row r="39" spans="1:12" ht="13.5" thickBot="1">
      <c r="D39" s="8">
        <f>SUM(D35:D37)</f>
        <v>2015845.0586547342</v>
      </c>
      <c r="E39" s="14">
        <f>SUM(E35:E37)</f>
        <v>1</v>
      </c>
      <c r="K39" s="8">
        <f>SUM(K35:K37)</f>
        <v>2015845.0586547342</v>
      </c>
      <c r="L39" s="14">
        <f>SUM(L35:L37)</f>
        <v>1</v>
      </c>
    </row>
    <row r="40" spans="1:12" ht="13.5" thickTop="1"/>
    <row r="42" spans="1:12">
      <c r="A42" s="643" t="s">
        <v>1341</v>
      </c>
    </row>
    <row r="44" spans="1:12">
      <c r="A44" t="s">
        <v>476</v>
      </c>
      <c r="D44" s="122">
        <f>+'Service Counts'!I75</f>
        <v>70946.2</v>
      </c>
      <c r="E44" s="11">
        <f>+D44/D48</f>
        <v>0.65730252193569272</v>
      </c>
    </row>
    <row r="45" spans="1:12">
      <c r="A45" t="s">
        <v>472</v>
      </c>
      <c r="D45" s="122">
        <f>+'Service Counts'!R75</f>
        <v>10062.15</v>
      </c>
      <c r="E45" s="11">
        <f>+D45/D48</f>
        <v>9.3223831172004001E-2</v>
      </c>
    </row>
    <row r="46" spans="1:12">
      <c r="A46" t="s">
        <v>471</v>
      </c>
      <c r="D46" s="166">
        <f>+'Service Counts'!AA75</f>
        <v>26927.033833718244</v>
      </c>
      <c r="E46" s="161">
        <f>+D46/D48</f>
        <v>0.24947364689230328</v>
      </c>
    </row>
    <row r="47" spans="1:12">
      <c r="D47" s="122"/>
      <c r="E47" s="11"/>
    </row>
    <row r="48" spans="1:12" ht="13.5" thickBot="1">
      <c r="D48" s="165">
        <f>SUM(D44:D46)</f>
        <v>107935.38383371824</v>
      </c>
      <c r="E48" s="14">
        <f>SUM(E44:E46)</f>
        <v>1</v>
      </c>
    </row>
    <row r="49" spans="1:5" ht="13.5" thickTop="1"/>
    <row r="52" spans="1:5">
      <c r="A52" s="398" t="s">
        <v>1481</v>
      </c>
      <c r="B52" s="398"/>
      <c r="C52" s="398"/>
    </row>
    <row r="53" spans="1:5">
      <c r="A53" t="s">
        <v>1468</v>
      </c>
    </row>
    <row r="55" spans="1:5">
      <c r="A55" t="s">
        <v>476</v>
      </c>
      <c r="D55" s="164">
        <f>+'General Data'!$D$33</f>
        <v>3186</v>
      </c>
      <c r="E55" s="11">
        <f>+D55/D59</f>
        <v>0.86061588330632088</v>
      </c>
    </row>
    <row r="56" spans="1:5">
      <c r="A56" t="s">
        <v>472</v>
      </c>
      <c r="D56" s="164">
        <f>+'General Data'!$D$34</f>
        <v>240</v>
      </c>
      <c r="E56" s="11">
        <f>+D56/D59</f>
        <v>6.4829821717990274E-2</v>
      </c>
    </row>
    <row r="57" spans="1:5">
      <c r="A57" t="s">
        <v>471</v>
      </c>
      <c r="D57" s="163">
        <f>+'General Data'!$D$35</f>
        <v>276</v>
      </c>
      <c r="E57" s="161">
        <f>+D57/D59</f>
        <v>7.4554294975688815E-2</v>
      </c>
    </row>
    <row r="58" spans="1:5">
      <c r="D58" s="99"/>
      <c r="E58" s="11"/>
    </row>
    <row r="59" spans="1:5" ht="13.5" thickBot="1">
      <c r="D59" s="162">
        <f>SUM(D55:D57)</f>
        <v>3702</v>
      </c>
      <c r="E59" s="14">
        <f>SUM(E55:E57)</f>
        <v>0.99999999999999989</v>
      </c>
    </row>
    <row r="60" spans="1:5" ht="13.5" thickTop="1"/>
    <row r="63" spans="1:5">
      <c r="A63" t="s">
        <v>111</v>
      </c>
    </row>
    <row r="65" spans="1:5">
      <c r="A65" t="s">
        <v>476</v>
      </c>
      <c r="D65" s="47">
        <f>+'Hours &amp; Miles by County'!D23</f>
        <v>5169.28</v>
      </c>
      <c r="E65" s="11">
        <f>+D65/D69</f>
        <v>0.77916197521708785</v>
      </c>
    </row>
    <row r="66" spans="1:5">
      <c r="A66" t="s">
        <v>472</v>
      </c>
      <c r="D66" s="47">
        <f>+'Hours &amp; Miles by County'!E23</f>
        <v>509.97</v>
      </c>
      <c r="E66" s="11">
        <f>+D66/D69</f>
        <v>7.6867423026312817E-2</v>
      </c>
    </row>
    <row r="67" spans="1:5">
      <c r="A67" t="s">
        <v>471</v>
      </c>
      <c r="D67" s="62">
        <f>+'Hours &amp; Miles by County'!F23</f>
        <v>955.15999999999985</v>
      </c>
      <c r="E67" s="161">
        <f>+D67/D69</f>
        <v>0.14397060175659929</v>
      </c>
    </row>
    <row r="68" spans="1:5">
      <c r="D68" s="47"/>
      <c r="E68" s="11"/>
    </row>
    <row r="69" spans="1:5" ht="13.5" thickBot="1">
      <c r="D69" s="160">
        <f>SUM(D65:D67)</f>
        <v>6634.41</v>
      </c>
      <c r="E69" s="14">
        <f>SUM(E65:E67)</f>
        <v>0.99999999999999989</v>
      </c>
    </row>
    <row r="70" spans="1:5" ht="13.5" thickTop="1"/>
    <row r="72" spans="1:5">
      <c r="A72" s="83" t="s">
        <v>1304</v>
      </c>
    </row>
    <row r="74" spans="1:5">
      <c r="A74" t="s">
        <v>476</v>
      </c>
      <c r="D74" s="47">
        <f>+'Hours &amp; Miles by County'!D44</f>
        <v>7247.0999999999995</v>
      </c>
      <c r="E74" s="11">
        <f>+D74/D78</f>
        <v>0.74522837278797116</v>
      </c>
    </row>
    <row r="75" spans="1:5">
      <c r="A75" t="s">
        <v>472</v>
      </c>
      <c r="D75" s="47">
        <f>+'Hours &amp; Miles by County'!E44</f>
        <v>915.66</v>
      </c>
      <c r="E75" s="11">
        <f>+D75/D78</f>
        <v>9.4158465017321918E-2</v>
      </c>
    </row>
    <row r="76" spans="1:5">
      <c r="A76" t="s">
        <v>471</v>
      </c>
      <c r="D76" s="62">
        <f>+'Hours &amp; Miles by County'!F44</f>
        <v>1561.91</v>
      </c>
      <c r="E76" s="161">
        <f>+D76/D78</f>
        <v>0.16061316219470687</v>
      </c>
    </row>
    <row r="77" spans="1:5">
      <c r="D77" s="47"/>
      <c r="E77" s="11"/>
    </row>
    <row r="78" spans="1:5" ht="13.5" thickBot="1">
      <c r="D78" s="160">
        <f>SUM(D74:D76)</f>
        <v>9724.67</v>
      </c>
      <c r="E78" s="14">
        <f>SUM(E74:E76)</f>
        <v>1</v>
      </c>
    </row>
    <row r="79" spans="1:5" ht="13.5" thickTop="1"/>
    <row r="81" spans="1:5">
      <c r="A81" t="s">
        <v>115</v>
      </c>
    </row>
    <row r="83" spans="1:5">
      <c r="A83" t="s">
        <v>476</v>
      </c>
      <c r="D83" s="47">
        <f>+'Hours &amp; Miles by County'!D66</f>
        <v>49677</v>
      </c>
      <c r="E83" s="11">
        <f>+D83/D87</f>
        <v>0.69084107470656952</v>
      </c>
    </row>
    <row r="84" spans="1:5">
      <c r="A84" t="s">
        <v>472</v>
      </c>
      <c r="D84" s="47">
        <f>+'Hours &amp; Miles by County'!E66</f>
        <v>6369</v>
      </c>
      <c r="E84" s="11">
        <f>+D84/D87</f>
        <v>8.8571508038048613E-2</v>
      </c>
    </row>
    <row r="85" spans="1:5">
      <c r="A85" t="s">
        <v>471</v>
      </c>
      <c r="D85" s="62">
        <f>+'Hours &amp; Miles by County'!F66</f>
        <v>15862</v>
      </c>
      <c r="E85" s="161">
        <f>+D85/D87</f>
        <v>0.22058741725538189</v>
      </c>
    </row>
    <row r="86" spans="1:5">
      <c r="D86" s="47"/>
      <c r="E86" s="11"/>
    </row>
    <row r="87" spans="1:5" ht="13.5" thickBot="1">
      <c r="D87" s="160">
        <f>SUM(D83:D85)</f>
        <v>71908</v>
      </c>
      <c r="E87" s="14">
        <f>SUM(E83:E85)</f>
        <v>1</v>
      </c>
    </row>
    <row r="88" spans="1:5" ht="13.5" thickTop="1"/>
  </sheetData>
  <pageMargins left="0.2" right="0.3" top="0.49" bottom="0.49" header="0.5" footer="0.5"/>
  <pageSetup scale="49" orientation="landscape" horizontalDpi="4294967293" verticalDpi="4294967293" r:id="rId1"/>
  <headerFooter alignWithMargins="0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E4" sqref="E4"/>
    </sheetView>
  </sheetViews>
  <sheetFormatPr defaultRowHeight="12.75"/>
  <cols>
    <col min="1" max="1" width="9.42578125" bestFit="1" customWidth="1"/>
    <col min="4" max="4" width="11.5703125" customWidth="1"/>
    <col min="5" max="5" width="11.140625" customWidth="1"/>
    <col min="6" max="7" width="11.5703125" customWidth="1"/>
    <col min="8" max="8" width="10.85546875" customWidth="1"/>
    <col min="9" max="9" width="10.28515625" customWidth="1"/>
    <col min="10" max="10" width="9.7109375" bestFit="1" customWidth="1"/>
    <col min="11" max="11" width="12.28515625" customWidth="1"/>
  </cols>
  <sheetData>
    <row r="1" spans="1:12">
      <c r="A1" t="s">
        <v>0</v>
      </c>
    </row>
    <row r="3" spans="1:12">
      <c r="A3" t="s">
        <v>189</v>
      </c>
      <c r="D3" s="643" t="s">
        <v>1342</v>
      </c>
      <c r="E3" s="643" t="s">
        <v>689</v>
      </c>
    </row>
    <row r="5" spans="1:12">
      <c r="A5" s="642" t="s">
        <v>1435</v>
      </c>
    </row>
    <row r="9" spans="1:12">
      <c r="D9" s="2" t="s">
        <v>190</v>
      </c>
      <c r="E9" s="2" t="s">
        <v>262</v>
      </c>
      <c r="F9" s="2"/>
      <c r="G9" s="2"/>
      <c r="H9" s="2" t="s">
        <v>262</v>
      </c>
      <c r="I9" s="2" t="s">
        <v>193</v>
      </c>
      <c r="J9" s="2" t="s">
        <v>194</v>
      </c>
      <c r="K9" s="2"/>
      <c r="L9" s="2"/>
    </row>
    <row r="10" spans="1:12" ht="13.5" thickBot="1">
      <c r="D10" s="20" t="s">
        <v>191</v>
      </c>
      <c r="E10" s="20" t="s">
        <v>191</v>
      </c>
      <c r="F10" s="20" t="s">
        <v>192</v>
      </c>
      <c r="G10" s="20" t="s">
        <v>315</v>
      </c>
      <c r="H10" s="20" t="s">
        <v>192</v>
      </c>
      <c r="I10" s="20" t="s">
        <v>191</v>
      </c>
      <c r="J10" s="20" t="s">
        <v>191</v>
      </c>
      <c r="K10" s="20" t="s">
        <v>2</v>
      </c>
      <c r="L10" s="2"/>
    </row>
    <row r="12" spans="1:12">
      <c r="A12" t="s">
        <v>473</v>
      </c>
      <c r="D12" s="6">
        <f t="shared" ref="D12:J12" si="0">+D18-D14-D16</f>
        <v>141298.21744245043</v>
      </c>
      <c r="E12" s="6">
        <f t="shared" si="0"/>
        <v>327.00388134543937</v>
      </c>
      <c r="F12" s="6">
        <f>+F18-F14-F16</f>
        <v>16728.24798854961</v>
      </c>
      <c r="G12" s="6">
        <f>+G18-G14-G16</f>
        <v>16512.641745213547</v>
      </c>
      <c r="H12" s="6">
        <f t="shared" si="0"/>
        <v>4545.282687775024</v>
      </c>
      <c r="I12" s="6">
        <f t="shared" si="0"/>
        <v>2470.2818714838022</v>
      </c>
      <c r="J12" s="6">
        <f t="shared" si="0"/>
        <v>417.58326006362603</v>
      </c>
      <c r="K12" s="6">
        <f>SUM(D12:J12)</f>
        <v>182299.2588768815</v>
      </c>
      <c r="L12" s="11">
        <f>+K12/K18</f>
        <v>0.78248999147382692</v>
      </c>
    </row>
    <row r="13" spans="1:12">
      <c r="D13" s="6"/>
      <c r="E13" s="6"/>
      <c r="F13" s="6"/>
      <c r="G13" s="6"/>
      <c r="H13" s="6"/>
      <c r="I13" s="6"/>
      <c r="J13" s="6"/>
      <c r="K13" s="6"/>
      <c r="L13" s="11"/>
    </row>
    <row r="14" spans="1:12">
      <c r="A14" t="s">
        <v>472</v>
      </c>
      <c r="D14" s="6">
        <f t="shared" ref="D14:J14" si="1">+D18*D26</f>
        <v>13939.630267489178</v>
      </c>
      <c r="E14" s="6">
        <f t="shared" si="1"/>
        <v>81.950775596850789</v>
      </c>
      <c r="F14" s="6">
        <f>+F18*F26</f>
        <v>806.18062595419815</v>
      </c>
      <c r="G14" s="6">
        <f t="shared" si="1"/>
        <v>0</v>
      </c>
      <c r="H14" s="6">
        <f t="shared" si="1"/>
        <v>1139.0979215216487</v>
      </c>
      <c r="I14" s="6">
        <f t="shared" si="1"/>
        <v>243.70311648829136</v>
      </c>
      <c r="J14" s="6">
        <f t="shared" si="1"/>
        <v>42.796437672148805</v>
      </c>
      <c r="K14" s="6">
        <f>SUM(D14:J14)</f>
        <v>16253.359144722317</v>
      </c>
      <c r="L14" s="11">
        <f>+K14/K18</f>
        <v>6.9764907092486672E-2</v>
      </c>
    </row>
    <row r="15" spans="1:12">
      <c r="D15" s="6"/>
      <c r="E15" s="6"/>
      <c r="F15" s="6"/>
      <c r="G15" s="6"/>
      <c r="H15" s="6"/>
      <c r="I15" s="6"/>
      <c r="J15" s="6"/>
      <c r="K15" s="6"/>
      <c r="L15" s="11"/>
    </row>
    <row r="16" spans="1:12">
      <c r="A16" t="s">
        <v>471</v>
      </c>
      <c r="D16" s="43">
        <f t="shared" ref="D16:J16" si="2">+D18*D27</f>
        <v>26108.550005480636</v>
      </c>
      <c r="E16" s="43">
        <f t="shared" si="2"/>
        <v>344.90248591485272</v>
      </c>
      <c r="F16" s="43">
        <f t="shared" si="2"/>
        <v>2620.0870343511442</v>
      </c>
      <c r="G16" s="43">
        <f t="shared" si="2"/>
        <v>0</v>
      </c>
      <c r="H16" s="43">
        <f t="shared" si="2"/>
        <v>4794.0693907033137</v>
      </c>
      <c r="I16" s="43">
        <f t="shared" si="2"/>
        <v>456.44933769624947</v>
      </c>
      <c r="J16" s="43">
        <f t="shared" si="2"/>
        <v>96.602441232974414</v>
      </c>
      <c r="K16" s="43">
        <f>SUM(D16:J16)</f>
        <v>34420.660695379171</v>
      </c>
      <c r="L16" s="171">
        <f>+K16/K18</f>
        <v>0.14774510143368652</v>
      </c>
    </row>
    <row r="17" spans="1:13">
      <c r="D17" s="6"/>
      <c r="E17" s="6"/>
      <c r="F17" s="6"/>
      <c r="G17" s="6"/>
      <c r="H17" s="6"/>
      <c r="I17" s="6"/>
      <c r="J17" s="6"/>
      <c r="K17" s="6"/>
      <c r="L17" s="11"/>
    </row>
    <row r="18" spans="1:13" ht="13.5" thickBot="1">
      <c r="B18" t="s">
        <v>2</v>
      </c>
      <c r="D18" s="375">
        <f>'Depr Allocation'!D12</f>
        <v>181346.39771542026</v>
      </c>
      <c r="E18" s="375">
        <f>'Depr Allocation'!E12</f>
        <v>753.85714285714289</v>
      </c>
      <c r="F18" s="375">
        <f>'Depr Allocation'!F12</f>
        <v>20154.515648854955</v>
      </c>
      <c r="G18" s="375">
        <f>'Depr Allocation'!G12</f>
        <v>16512.641745213547</v>
      </c>
      <c r="H18" s="375">
        <f>'Depr Allocation'!H12</f>
        <v>10478.449999999986</v>
      </c>
      <c r="I18" s="375">
        <f>'Depr Allocation'!I12</f>
        <v>3170.4343256683433</v>
      </c>
      <c r="J18" s="375">
        <f>'Depr Allocation'!J12</f>
        <v>556.98213896874927</v>
      </c>
      <c r="K18" s="8">
        <f>SUM(D18:J18)</f>
        <v>232973.27871698295</v>
      </c>
      <c r="L18" s="14">
        <f>SUM(L12:L16)</f>
        <v>1.0000000000000002</v>
      </c>
      <c r="M18" s="6">
        <f>SUM(D18:J18)-SUM(K12:K16)</f>
        <v>0</v>
      </c>
    </row>
    <row r="19" spans="1:13" ht="13.5" thickTop="1"/>
    <row r="21" spans="1:13">
      <c r="D21" s="2" t="s">
        <v>196</v>
      </c>
      <c r="E21" s="2" t="s">
        <v>262</v>
      </c>
      <c r="F21" s="2"/>
      <c r="G21" s="2"/>
      <c r="H21" s="2" t="s">
        <v>262</v>
      </c>
      <c r="I21" s="2" t="s">
        <v>196</v>
      </c>
      <c r="J21" s="2" t="s">
        <v>194</v>
      </c>
    </row>
    <row r="22" spans="1:13" ht="13.5" thickBot="1">
      <c r="A22" t="s">
        <v>195</v>
      </c>
      <c r="D22" s="20" t="s">
        <v>197</v>
      </c>
      <c r="E22" s="20" t="s">
        <v>151</v>
      </c>
      <c r="F22" s="20" t="s">
        <v>198</v>
      </c>
      <c r="G22" s="20" t="s">
        <v>198</v>
      </c>
      <c r="H22" s="20" t="s">
        <v>151</v>
      </c>
      <c r="I22" s="20" t="s">
        <v>197</v>
      </c>
      <c r="J22" s="20" t="s">
        <v>105</v>
      </c>
    </row>
    <row r="25" spans="1:13">
      <c r="A25" t="s">
        <v>473</v>
      </c>
      <c r="D25" s="11">
        <f>+'Hours &amp; Miles by County'!D25</f>
        <v>0.77916197521708785</v>
      </c>
      <c r="E25" s="11">
        <f>+'Drop Box Allocation'!D10</f>
        <v>0.43377433568657853</v>
      </c>
      <c r="F25" s="11">
        <f>+'Container Count by County'!K22</f>
        <v>0.82</v>
      </c>
      <c r="G25" s="11">
        <f>+'Container Count by County'!G10</f>
        <v>1</v>
      </c>
      <c r="H25" s="11">
        <f>+E25</f>
        <v>0.43377433568657853</v>
      </c>
      <c r="I25" s="11">
        <f>+D25</f>
        <v>0.77916197521708785</v>
      </c>
      <c r="J25" s="11">
        <f>+'Cost Allocations'!E64</f>
        <v>0.74972468746804022</v>
      </c>
    </row>
    <row r="26" spans="1:13">
      <c r="A26" t="s">
        <v>472</v>
      </c>
      <c r="D26" s="11">
        <f>+'Hours &amp; Miles by County'!E25</f>
        <v>7.6867423026312817E-2</v>
      </c>
      <c r="E26" s="11">
        <f>+'Drop Box Allocation'!D11</f>
        <v>0.10870862785255932</v>
      </c>
      <c r="F26" s="11">
        <f>+'Container Count by County'!K24</f>
        <v>0.04</v>
      </c>
      <c r="G26" s="11">
        <f>+'Container Count by County'!G12</f>
        <v>0</v>
      </c>
      <c r="H26" s="11">
        <f>+E26</f>
        <v>0.10870862785255932</v>
      </c>
      <c r="I26" s="11">
        <f>+D26</f>
        <v>7.6867423026312817E-2</v>
      </c>
      <c r="J26" s="11">
        <f>+'Cost Allocations'!H64</f>
        <v>7.6836283747601458E-2</v>
      </c>
    </row>
    <row r="27" spans="1:13">
      <c r="A27" t="s">
        <v>471</v>
      </c>
      <c r="D27" s="11">
        <f>+'Hours &amp; Miles by County'!F25</f>
        <v>0.14397060175659929</v>
      </c>
      <c r="E27" s="11">
        <f>+'Drop Box Allocation'!D12</f>
        <v>0.45751703646086206</v>
      </c>
      <c r="F27" s="11">
        <f>+'Container Count by County'!K26</f>
        <v>0.13</v>
      </c>
      <c r="G27" s="11">
        <f>+'Container Count by County'!G14</f>
        <v>0</v>
      </c>
      <c r="H27" s="11">
        <f>+E27</f>
        <v>0.45751703646086206</v>
      </c>
      <c r="I27" s="11">
        <f>+D27</f>
        <v>0.14397060175659929</v>
      </c>
      <c r="J27" s="11">
        <f>+'Cost Allocations'!K64</f>
        <v>0.17343902878435841</v>
      </c>
    </row>
    <row r="29" spans="1:13">
      <c r="D29" s="11">
        <f t="shared" ref="D29:J29" si="3">SUM(D25:D27)</f>
        <v>0.99999999999999989</v>
      </c>
      <c r="E29" s="11">
        <f t="shared" si="3"/>
        <v>0.99999999999999989</v>
      </c>
      <c r="F29" s="11">
        <f t="shared" si="3"/>
        <v>0.99</v>
      </c>
      <c r="G29" s="11">
        <f t="shared" si="3"/>
        <v>1</v>
      </c>
      <c r="H29" s="11">
        <f t="shared" si="3"/>
        <v>0.99999999999999989</v>
      </c>
      <c r="I29" s="11">
        <f t="shared" si="3"/>
        <v>0.99999999999999989</v>
      </c>
      <c r="J29" s="11">
        <f t="shared" si="3"/>
        <v>1</v>
      </c>
    </row>
  </sheetData>
  <pageMargins left="0.36" right="0.75" top="0.49" bottom="0.51" header="0.5" footer="0.5"/>
  <pageSetup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3:E30"/>
  <sheetViews>
    <sheetView workbookViewId="0">
      <selection activeCell="E29" sqref="E29"/>
    </sheetView>
  </sheetViews>
  <sheetFormatPr defaultRowHeight="12.75"/>
  <cols>
    <col min="2" max="2" width="12.28515625" bestFit="1" customWidth="1"/>
    <col min="3" max="3" width="14.7109375" customWidth="1"/>
    <col min="4" max="4" width="11.28515625" bestFit="1" customWidth="1"/>
    <col min="5" max="5" width="59.85546875" customWidth="1"/>
  </cols>
  <sheetData>
    <row r="3" spans="2:5" ht="18">
      <c r="B3" s="628" t="s">
        <v>1272</v>
      </c>
      <c r="C3" s="628"/>
    </row>
    <row r="5" spans="2:5">
      <c r="B5" s="620" t="s">
        <v>98</v>
      </c>
      <c r="C5" s="620" t="s">
        <v>1273</v>
      </c>
      <c r="D5" s="620" t="s">
        <v>1274</v>
      </c>
    </row>
    <row r="6" spans="2:5">
      <c r="B6" s="621"/>
      <c r="C6" s="621"/>
      <c r="D6" s="621"/>
      <c r="E6" s="627"/>
    </row>
    <row r="7" spans="2:5">
      <c r="B7" s="622"/>
      <c r="C7" s="622"/>
      <c r="D7" s="621"/>
      <c r="E7" s="627"/>
    </row>
    <row r="8" spans="2:5">
      <c r="B8" s="621"/>
      <c r="C8" s="621"/>
      <c r="D8" s="621"/>
      <c r="E8" s="627"/>
    </row>
    <row r="9" spans="2:5">
      <c r="B9" s="621"/>
      <c r="C9" s="621"/>
      <c r="D9" s="621"/>
      <c r="E9" s="627"/>
    </row>
    <row r="10" spans="2:5">
      <c r="B10" s="783"/>
      <c r="C10" s="783"/>
      <c r="D10" s="783"/>
      <c r="E10" s="627"/>
    </row>
    <row r="11" spans="2:5">
      <c r="B11" s="621"/>
      <c r="C11" s="621"/>
      <c r="D11" s="621"/>
      <c r="E11" s="627"/>
    </row>
    <row r="12" spans="2:5">
      <c r="B12" s="621"/>
      <c r="C12" s="621"/>
      <c r="D12" s="621"/>
      <c r="E12" s="627"/>
    </row>
    <row r="13" spans="2:5">
      <c r="B13" s="621"/>
      <c r="C13" s="621"/>
      <c r="D13" s="621"/>
      <c r="E13" s="619"/>
    </row>
    <row r="14" spans="2:5">
      <c r="B14" s="621"/>
      <c r="C14" s="621"/>
      <c r="D14" s="621"/>
      <c r="E14" s="619"/>
    </row>
    <row r="15" spans="2:5">
      <c r="B15" s="621"/>
      <c r="C15" s="621"/>
      <c r="D15" s="621"/>
      <c r="E15" s="619"/>
    </row>
    <row r="16" spans="2:5">
      <c r="B16" s="621"/>
      <c r="C16" s="621"/>
      <c r="D16" s="621"/>
      <c r="E16" s="619"/>
    </row>
    <row r="17" spans="2:5">
      <c r="B17" s="621"/>
      <c r="C17" s="621"/>
      <c r="D17" s="621"/>
      <c r="E17" s="619"/>
    </row>
    <row r="18" spans="2:5">
      <c r="B18" s="621"/>
      <c r="C18" s="621"/>
      <c r="D18" s="621"/>
      <c r="E18" s="619"/>
    </row>
    <row r="19" spans="2:5">
      <c r="B19" s="621"/>
      <c r="C19" s="621"/>
      <c r="D19" s="621"/>
      <c r="E19" s="619"/>
    </row>
    <row r="20" spans="2:5">
      <c r="B20" s="621"/>
      <c r="C20" s="621"/>
      <c r="D20" s="621"/>
      <c r="E20" s="619"/>
    </row>
    <row r="21" spans="2:5">
      <c r="B21" s="621"/>
      <c r="C21" s="621"/>
      <c r="D21" s="621"/>
      <c r="E21" s="619"/>
    </row>
    <row r="22" spans="2:5">
      <c r="B22" s="621"/>
      <c r="C22" s="621"/>
      <c r="D22" s="621"/>
      <c r="E22" s="619"/>
    </row>
    <row r="23" spans="2:5">
      <c r="B23" s="621"/>
      <c r="C23" s="621"/>
      <c r="D23" s="621"/>
      <c r="E23" s="619"/>
    </row>
    <row r="24" spans="2:5">
      <c r="B24" s="621"/>
      <c r="C24" s="621"/>
      <c r="D24" s="621"/>
      <c r="E24" s="619"/>
    </row>
    <row r="25" spans="2:5">
      <c r="B25" s="621"/>
      <c r="C25" s="621"/>
      <c r="D25" s="621"/>
      <c r="E25" s="619"/>
    </row>
    <row r="26" spans="2:5">
      <c r="B26" s="621"/>
      <c r="C26" s="621"/>
      <c r="D26" s="621"/>
      <c r="E26" s="619"/>
    </row>
    <row r="27" spans="2:5">
      <c r="B27" s="623"/>
      <c r="C27" s="623"/>
      <c r="D27" s="623"/>
      <c r="E27" s="619"/>
    </row>
    <row r="28" spans="2:5">
      <c r="B28" s="623"/>
      <c r="C28" s="623"/>
      <c r="D28" s="623"/>
      <c r="E28" s="619"/>
    </row>
    <row r="29" spans="2:5">
      <c r="B29" s="623"/>
      <c r="C29" s="623"/>
      <c r="D29" s="623"/>
      <c r="E29" s="619"/>
    </row>
    <row r="30" spans="2:5">
      <c r="E30" s="619"/>
    </row>
  </sheetData>
  <mergeCells count="1">
    <mergeCell ref="B10:D10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"/>
  <sheetViews>
    <sheetView topLeftCell="A7" workbookViewId="0">
      <selection activeCell="A6" sqref="A6"/>
    </sheetView>
  </sheetViews>
  <sheetFormatPr defaultRowHeight="12.75"/>
  <cols>
    <col min="3" max="3" width="10" customWidth="1"/>
    <col min="4" max="4" width="9.42578125" customWidth="1"/>
    <col min="5" max="6" width="10" customWidth="1"/>
  </cols>
  <sheetData>
    <row r="1" spans="1:7">
      <c r="A1" t="s">
        <v>0</v>
      </c>
    </row>
    <row r="3" spans="1:7">
      <c r="A3" t="s">
        <v>110</v>
      </c>
      <c r="F3" s="643" t="s">
        <v>1342</v>
      </c>
      <c r="G3" s="643" t="s">
        <v>689</v>
      </c>
    </row>
    <row r="5" spans="1:7">
      <c r="A5" s="642" t="s">
        <v>1435</v>
      </c>
    </row>
    <row r="8" spans="1:7" ht="13.5" thickBot="1">
      <c r="A8" t="s">
        <v>111</v>
      </c>
      <c r="C8" s="20" t="s">
        <v>2</v>
      </c>
      <c r="D8" s="20" t="s">
        <v>473</v>
      </c>
      <c r="E8" s="20" t="s">
        <v>472</v>
      </c>
      <c r="F8" s="20" t="s">
        <v>471</v>
      </c>
    </row>
    <row r="9" spans="1:7">
      <c r="E9" s="17"/>
    </row>
    <row r="10" spans="1:7">
      <c r="A10" t="str">
        <f>+'Monthly Data-Hours &amp; Miles'!$C$24</f>
        <v xml:space="preserve">October </v>
      </c>
      <c r="C10" s="17">
        <f t="shared" ref="C10:C21" si="0">+D10+E10+F10</f>
        <v>585.98</v>
      </c>
      <c r="D10" s="17">
        <f>+'Monthly Data-Hours &amp; Miles'!C$28</f>
        <v>454.09</v>
      </c>
      <c r="E10" s="17">
        <f>+'Monthly Data-Hours &amp; Miles'!C$29</f>
        <v>39.82</v>
      </c>
      <c r="F10" s="17">
        <f>+'Monthly Data-Hours &amp; Miles'!C$30</f>
        <v>92.07</v>
      </c>
    </row>
    <row r="11" spans="1:7">
      <c r="A11" t="str">
        <f>+'Monthly Data-Hours &amp; Miles'!$D$24</f>
        <v>November</v>
      </c>
      <c r="C11" s="17">
        <f t="shared" si="0"/>
        <v>559.74</v>
      </c>
      <c r="D11" s="17">
        <f>+'Monthly Data-Hours &amp; Miles'!D$28</f>
        <v>414.79</v>
      </c>
      <c r="E11" s="17">
        <f>+'Monthly Data-Hours &amp; Miles'!D$29</f>
        <v>49.7</v>
      </c>
      <c r="F11" s="17">
        <f>+'Monthly Data-Hours &amp; Miles'!D$30</f>
        <v>95.25</v>
      </c>
    </row>
    <row r="12" spans="1:7">
      <c r="A12" t="str">
        <f>+'Monthly Data-Hours &amp; Miles'!$E$24</f>
        <v>December</v>
      </c>
      <c r="C12" s="17">
        <f t="shared" si="0"/>
        <v>570.68999999999994</v>
      </c>
      <c r="D12" s="17">
        <f>+'Monthly Data-Hours &amp; Miles'!E$28</f>
        <v>466.34</v>
      </c>
      <c r="E12" s="17">
        <f>+'Monthly Data-Hours &amp; Miles'!E$29</f>
        <v>45.73</v>
      </c>
      <c r="F12" s="17">
        <f>+'Monthly Data-Hours &amp; Miles'!E$30</f>
        <v>58.62</v>
      </c>
    </row>
    <row r="13" spans="1:7">
      <c r="A13" t="str">
        <f>+'Monthly Data-Hours &amp; Miles'!$F$24</f>
        <v>January</v>
      </c>
      <c r="C13" s="17">
        <f t="shared" si="0"/>
        <v>472.24</v>
      </c>
      <c r="D13" s="17">
        <f>+'Monthly Data-Hours &amp; Miles'!F$28</f>
        <v>381.36</v>
      </c>
      <c r="E13" s="17">
        <f>+'Monthly Data-Hours &amp; Miles'!F$29</f>
        <v>36.42</v>
      </c>
      <c r="F13" s="17">
        <f>+'Monthly Data-Hours &amp; Miles'!F$30</f>
        <v>54.46</v>
      </c>
    </row>
    <row r="14" spans="1:7">
      <c r="A14" t="str">
        <f>+'Monthly Data-Hours &amp; Miles'!$G$24</f>
        <v>February</v>
      </c>
      <c r="C14" s="17">
        <f t="shared" si="0"/>
        <v>414.13</v>
      </c>
      <c r="D14" s="17">
        <f>+'Monthly Data-Hours &amp; Miles'!G$28</f>
        <v>326.08</v>
      </c>
      <c r="E14" s="17">
        <f>+'Monthly Data-Hours &amp; Miles'!G$29</f>
        <v>35.92</v>
      </c>
      <c r="F14" s="17">
        <f>+'Monthly Data-Hours &amp; Miles'!G$30</f>
        <v>52.13</v>
      </c>
    </row>
    <row r="15" spans="1:7">
      <c r="A15" t="str">
        <f>+'Monthly Data-Hours &amp; Miles'!$H$24</f>
        <v>March</v>
      </c>
      <c r="C15" s="17">
        <f t="shared" si="0"/>
        <v>543.31999999999994</v>
      </c>
      <c r="D15" s="17">
        <f>+'Monthly Data-Hours &amp; Miles'!H$28</f>
        <v>434.25</v>
      </c>
      <c r="E15" s="17">
        <f>+'Monthly Data-Hours &amp; Miles'!H$29</f>
        <v>42.75</v>
      </c>
      <c r="F15" s="17">
        <f>+'Monthly Data-Hours &amp; Miles'!H$30</f>
        <v>66.319999999999993</v>
      </c>
    </row>
    <row r="16" spans="1:7">
      <c r="A16" t="str">
        <f>+'Monthly Data-Hours &amp; Miles'!$I$24</f>
        <v>April</v>
      </c>
      <c r="C16" s="17">
        <f t="shared" si="0"/>
        <v>486.2</v>
      </c>
      <c r="D16" s="17">
        <f>+'Monthly Data-Hours &amp; Miles'!I$28</f>
        <v>384</v>
      </c>
      <c r="E16" s="17">
        <f>+'Monthly Data-Hours &amp; Miles'!I$29</f>
        <v>39.51</v>
      </c>
      <c r="F16" s="17">
        <f>+'Monthly Data-Hours &amp; Miles'!I$30</f>
        <v>62.69</v>
      </c>
    </row>
    <row r="17" spans="1:6">
      <c r="A17" t="str">
        <f>+'Monthly Data-Hours &amp; Miles'!$J$24</f>
        <v>May</v>
      </c>
      <c r="C17" s="17">
        <f t="shared" si="0"/>
        <v>551.47</v>
      </c>
      <c r="D17" s="17">
        <f>+'Monthly Data-Hours &amp; Miles'!J$28</f>
        <v>419.1</v>
      </c>
      <c r="E17" s="17">
        <f>+'Monthly Data-Hours &amp; Miles'!J$29</f>
        <v>50.72</v>
      </c>
      <c r="F17" s="17">
        <f>+'Monthly Data-Hours &amp; Miles'!J$30</f>
        <v>81.650000000000006</v>
      </c>
    </row>
    <row r="18" spans="1:6">
      <c r="A18" t="str">
        <f>+'Monthly Data-Hours &amp; Miles'!$K$24</f>
        <v>June</v>
      </c>
      <c r="C18" s="17">
        <f t="shared" si="0"/>
        <v>588.71</v>
      </c>
      <c r="D18" s="17">
        <f>+'Monthly Data-Hours &amp; Miles'!K$28</f>
        <v>468.69</v>
      </c>
      <c r="E18" s="17">
        <f>+'Monthly Data-Hours &amp; Miles'!K$29</f>
        <v>40.08</v>
      </c>
      <c r="F18" s="17">
        <f>+'Monthly Data-Hours &amp; Miles'!K$30</f>
        <v>79.94</v>
      </c>
    </row>
    <row r="19" spans="1:6">
      <c r="A19" t="str">
        <f>+'Monthly Data-Hours &amp; Miles'!$L$24</f>
        <v>July</v>
      </c>
      <c r="C19" s="17">
        <f t="shared" si="0"/>
        <v>603.22</v>
      </c>
      <c r="D19" s="17">
        <f>+'Monthly Data-Hours &amp; Miles'!L$28</f>
        <v>458.58</v>
      </c>
      <c r="E19" s="17">
        <f>+'Monthly Data-Hours &amp; Miles'!L$29</f>
        <v>39.549999999999997</v>
      </c>
      <c r="F19" s="17">
        <f>+'Monthly Data-Hours &amp; Miles'!L$30</f>
        <v>105.09</v>
      </c>
    </row>
    <row r="20" spans="1:6">
      <c r="A20" t="str">
        <f>+'Monthly Data-Hours &amp; Miles'!$M$24</f>
        <v>August</v>
      </c>
      <c r="C20" s="17">
        <f t="shared" si="0"/>
        <v>677.53</v>
      </c>
      <c r="D20" s="17">
        <f>+'Monthly Data-Hours &amp; Miles'!M$28</f>
        <v>516.5</v>
      </c>
      <c r="E20" s="17">
        <f>+'Monthly Data-Hours &amp; Miles'!M$29</f>
        <v>51</v>
      </c>
      <c r="F20" s="17">
        <f>+'Monthly Data-Hours &amp; Miles'!M$30</f>
        <v>110.03</v>
      </c>
    </row>
    <row r="21" spans="1:6">
      <c r="A21" t="str">
        <f>+'Monthly Data-Hours &amp; Miles'!$N$24</f>
        <v>September</v>
      </c>
      <c r="C21" s="19">
        <f t="shared" si="0"/>
        <v>581.17999999999995</v>
      </c>
      <c r="D21" s="19">
        <f>+'Monthly Data-Hours &amp; Miles'!N$28</f>
        <v>445.5</v>
      </c>
      <c r="E21" s="19">
        <f>+'Monthly Data-Hours &amp; Miles'!N$29</f>
        <v>38.770000000000003</v>
      </c>
      <c r="F21" s="19">
        <f>+'Monthly Data-Hours &amp; Miles'!N$30</f>
        <v>96.91</v>
      </c>
    </row>
    <row r="22" spans="1:6">
      <c r="C22" s="18"/>
    </row>
    <row r="23" spans="1:6" ht="13.5" thickBot="1">
      <c r="B23" t="s">
        <v>113</v>
      </c>
      <c r="C23" s="21">
        <f>SUM(C10:C21)</f>
        <v>6634.41</v>
      </c>
      <c r="D23" s="21">
        <f>SUM(D10:D21)</f>
        <v>5169.28</v>
      </c>
      <c r="E23" s="21">
        <f>SUM(E10:E21)</f>
        <v>509.97</v>
      </c>
      <c r="F23" s="21">
        <f>SUM(F10:F21)</f>
        <v>955.15999999999985</v>
      </c>
    </row>
    <row r="24" spans="1:6" ht="13.5" thickTop="1"/>
    <row r="25" spans="1:6" ht="13.5" thickBot="1">
      <c r="B25" t="s">
        <v>106</v>
      </c>
      <c r="C25" s="14">
        <f>SUM(D25:F25)</f>
        <v>0.99999999999999989</v>
      </c>
      <c r="D25" s="14">
        <f>+D23/C23</f>
        <v>0.77916197521708785</v>
      </c>
      <c r="E25" s="14">
        <f>+E23/C23</f>
        <v>7.6867423026312817E-2</v>
      </c>
      <c r="F25" s="14">
        <f>+F23/C23</f>
        <v>0.14397060175659929</v>
      </c>
    </row>
    <row r="26" spans="1:6" ht="13.5" thickTop="1"/>
    <row r="29" spans="1:6" ht="13.5" thickBot="1">
      <c r="A29" t="s">
        <v>114</v>
      </c>
      <c r="C29" s="20" t="s">
        <v>2</v>
      </c>
      <c r="D29" s="20" t="s">
        <v>473</v>
      </c>
      <c r="E29" s="20" t="s">
        <v>472</v>
      </c>
      <c r="F29" s="20" t="s">
        <v>471</v>
      </c>
    </row>
    <row r="30" spans="1:6">
      <c r="E30" s="17"/>
    </row>
    <row r="31" spans="1:6">
      <c r="A31" t="str">
        <f>+'Monthly Data-Hours &amp; Miles'!$C$24</f>
        <v xml:space="preserve">October </v>
      </c>
      <c r="C31" s="17">
        <f t="shared" ref="C31:C37" si="1">+D31+E31+F31</f>
        <v>868.45999999999992</v>
      </c>
      <c r="D31" s="17">
        <f>+'Monthly Data-Hours &amp; Miles'!$C$63</f>
        <v>604.67999999999995</v>
      </c>
      <c r="E31" s="17">
        <f>+'Monthly Data-Hours &amp; Miles'!$C$64</f>
        <v>79.64</v>
      </c>
      <c r="F31" s="17">
        <f>+'Monthly Data-Hours &amp; Miles'!$C$65</f>
        <v>184.14</v>
      </c>
    </row>
    <row r="32" spans="1:6">
      <c r="A32" t="str">
        <f>+'Monthly Data-Hours &amp; Miles'!$D$24</f>
        <v>November</v>
      </c>
      <c r="C32" s="17">
        <f t="shared" si="1"/>
        <v>752.23</v>
      </c>
      <c r="D32" s="17">
        <f>+'Monthly Data-Hours &amp; Miles'!$D$63</f>
        <v>526.35</v>
      </c>
      <c r="E32" s="17">
        <f>+'Monthly Data-Hours &amp; Miles'!$D$64</f>
        <v>85.33</v>
      </c>
      <c r="F32" s="17">
        <f>+'Monthly Data-Hours &amp; Miles'!$D$65</f>
        <v>140.55000000000001</v>
      </c>
    </row>
    <row r="33" spans="1:6">
      <c r="A33" t="str">
        <f>+'Monthly Data-Hours &amp; Miles'!$E$24</f>
        <v>December</v>
      </c>
      <c r="C33" s="17">
        <f t="shared" si="1"/>
        <v>746.06000000000006</v>
      </c>
      <c r="D33" s="17">
        <f>+'Monthly Data-Hours &amp; Miles'!$E$63</f>
        <v>592.84</v>
      </c>
      <c r="E33" s="17">
        <f>+'Monthly Data-Hours &amp; Miles'!$E$64</f>
        <v>70.14</v>
      </c>
      <c r="F33" s="17">
        <f>+'Monthly Data-Hours &amp; Miles'!$E$65</f>
        <v>83.08</v>
      </c>
    </row>
    <row r="34" spans="1:6">
      <c r="A34" t="str">
        <f>+'Monthly Data-Hours &amp; Miles'!$F$24</f>
        <v>January</v>
      </c>
      <c r="C34" s="17">
        <f t="shared" si="1"/>
        <v>768.73</v>
      </c>
      <c r="D34" s="17">
        <f>+'Monthly Data-Hours &amp; Miles'!$F$63</f>
        <v>586.97</v>
      </c>
      <c r="E34" s="17">
        <f>+'Monthly Data-Hours &amp; Miles'!$F$64</f>
        <v>72.84</v>
      </c>
      <c r="F34" s="17">
        <f>+'Monthly Data-Hours &amp; Miles'!$F$65</f>
        <v>108.92</v>
      </c>
    </row>
    <row r="35" spans="1:6">
      <c r="A35" t="str">
        <f>+'Monthly Data-Hours &amp; Miles'!$G$24</f>
        <v>February</v>
      </c>
      <c r="C35" s="17">
        <f t="shared" si="1"/>
        <v>713.26</v>
      </c>
      <c r="D35" s="17">
        <f>+'Monthly Data-Hours &amp; Miles'!$G$63</f>
        <v>537.16</v>
      </c>
      <c r="E35" s="17">
        <f>+'Monthly Data-Hours &amp; Miles'!$G$64</f>
        <v>71.84</v>
      </c>
      <c r="F35" s="17">
        <f>+'Monthly Data-Hours &amp; Miles'!$G$65</f>
        <v>104.26</v>
      </c>
    </row>
    <row r="36" spans="1:6">
      <c r="A36" t="str">
        <f>+'Monthly Data-Hours &amp; Miles'!$H$24</f>
        <v>March</v>
      </c>
      <c r="C36" s="17">
        <f t="shared" si="1"/>
        <v>782.91</v>
      </c>
      <c r="D36" s="17">
        <f>+'Monthly Data-Hours &amp; Miles'!$H$63</f>
        <v>588.77</v>
      </c>
      <c r="E36" s="17">
        <f>+'Monthly Data-Hours &amp; Miles'!$H$64</f>
        <v>84.5</v>
      </c>
      <c r="F36" s="17">
        <f>+'Monthly Data-Hours &amp; Miles'!$H$65</f>
        <v>109.64</v>
      </c>
    </row>
    <row r="37" spans="1:6">
      <c r="A37" t="str">
        <f>+'Monthly Data-Hours &amp; Miles'!$I$24</f>
        <v>April</v>
      </c>
      <c r="C37" s="17">
        <f t="shared" si="1"/>
        <v>687.90000000000009</v>
      </c>
      <c r="D37" s="17">
        <f>+'Monthly Data-Hours &amp; Miles'!$I$63</f>
        <v>510.25</v>
      </c>
      <c r="E37" s="17">
        <f>+'Monthly Data-Hours &amp; Miles'!$I$64</f>
        <v>70.69</v>
      </c>
      <c r="F37" s="17">
        <f>+'Monthly Data-Hours &amp; Miles'!$I$65</f>
        <v>106.96</v>
      </c>
    </row>
    <row r="38" spans="1:6">
      <c r="A38" t="str">
        <f>+'Monthly Data-Hours &amp; Miles'!$J$24</f>
        <v>May</v>
      </c>
      <c r="C38" s="17">
        <f t="shared" ref="C38:C42" si="2">+D38+E38+F38</f>
        <v>856.16999999999985</v>
      </c>
      <c r="D38" s="17">
        <f>+'Monthly Data-Hours &amp; Miles'!$J$63</f>
        <v>610.67999999999995</v>
      </c>
      <c r="E38" s="17">
        <f>+'Monthly Data-Hours &amp; Miles'!$J$64</f>
        <v>94.69</v>
      </c>
      <c r="F38" s="17">
        <f>+'Monthly Data-Hours &amp; Miles'!$J$65</f>
        <v>150.80000000000001</v>
      </c>
    </row>
    <row r="39" spans="1:6">
      <c r="A39" t="str">
        <f>+'Monthly Data-Hours &amp; Miles'!$K$24</f>
        <v>June</v>
      </c>
      <c r="C39" s="17">
        <f t="shared" si="2"/>
        <v>866.17</v>
      </c>
      <c r="D39" s="17">
        <f>+'Monthly Data-Hours &amp; Miles'!$K$63</f>
        <v>676.38</v>
      </c>
      <c r="E39" s="17">
        <f>+'Monthly Data-Hours &amp; Miles'!$K$64</f>
        <v>68.66</v>
      </c>
      <c r="F39" s="17">
        <f>+'Monthly Data-Hours &amp; Miles'!$K$65</f>
        <v>121.13</v>
      </c>
    </row>
    <row r="40" spans="1:6">
      <c r="A40" t="str">
        <f>+'Monthly Data-Hours &amp; Miles'!$L$24</f>
        <v>July</v>
      </c>
      <c r="C40" s="17">
        <f t="shared" si="2"/>
        <v>859.87</v>
      </c>
      <c r="D40" s="17">
        <f>+'Monthly Data-Hours &amp; Miles'!$L$63</f>
        <v>643.70000000000005</v>
      </c>
      <c r="E40" s="17">
        <f>+'Monthly Data-Hours &amp; Miles'!$L$64</f>
        <v>64.75</v>
      </c>
      <c r="F40" s="17">
        <f>+'Monthly Data-Hours &amp; Miles'!$L$65</f>
        <v>151.41999999999999</v>
      </c>
    </row>
    <row r="41" spans="1:6">
      <c r="A41" t="str">
        <f>+'Monthly Data-Hours &amp; Miles'!$M$24</f>
        <v>August</v>
      </c>
      <c r="C41" s="17">
        <f t="shared" si="2"/>
        <v>994.3</v>
      </c>
      <c r="D41" s="17">
        <f>+'Monthly Data-Hours &amp; Miles'!$M$63</f>
        <v>740.82</v>
      </c>
      <c r="E41" s="17">
        <f>+'Monthly Data-Hours &amp; Miles'!$M$64</f>
        <v>88.91</v>
      </c>
      <c r="F41" s="17">
        <f>+'Monthly Data-Hours &amp; Miles'!$M$65</f>
        <v>164.57</v>
      </c>
    </row>
    <row r="42" spans="1:6">
      <c r="A42" t="str">
        <f>+'Monthly Data-Hours &amp; Miles'!$N$24</f>
        <v>September</v>
      </c>
      <c r="C42" s="19">
        <f t="shared" si="2"/>
        <v>828.6099999999999</v>
      </c>
      <c r="D42" s="19">
        <f>+'Monthly Data-Hours &amp; Miles'!$N$63</f>
        <v>628.5</v>
      </c>
      <c r="E42" s="19">
        <f>+'Monthly Data-Hours &amp; Miles'!$N$64</f>
        <v>63.67</v>
      </c>
      <c r="F42" s="19">
        <f>+'Monthly Data-Hours &amp; Miles'!$N$65</f>
        <v>136.44</v>
      </c>
    </row>
    <row r="43" spans="1:6">
      <c r="C43" s="18"/>
    </row>
    <row r="44" spans="1:6" ht="13.5" thickBot="1">
      <c r="B44" t="s">
        <v>113</v>
      </c>
      <c r="C44" s="21">
        <f>SUM(C31:C42)</f>
        <v>9724.67</v>
      </c>
      <c r="D44" s="21">
        <f>SUM(D31:D42)</f>
        <v>7247.0999999999995</v>
      </c>
      <c r="E44" s="21">
        <f>SUM(E31:E42)</f>
        <v>915.66</v>
      </c>
      <c r="F44" s="21">
        <f>SUM(F31:F42)</f>
        <v>1561.91</v>
      </c>
    </row>
    <row r="45" spans="1:6" ht="13.5" thickTop="1"/>
    <row r="46" spans="1:6" ht="13.5" thickBot="1">
      <c r="B46" t="s">
        <v>106</v>
      </c>
      <c r="C46" s="14">
        <f>SUM(D46:F46)</f>
        <v>1</v>
      </c>
      <c r="D46" s="14">
        <f>+D44/C44</f>
        <v>0.74522837278797116</v>
      </c>
      <c r="E46" s="14">
        <f>+E44/C44</f>
        <v>9.4158465017321918E-2</v>
      </c>
      <c r="F46" s="14">
        <f>+F44/C44</f>
        <v>0.16061316219470687</v>
      </c>
    </row>
    <row r="47" spans="1:6" ht="13.5" thickTop="1"/>
    <row r="51" spans="1:6" ht="13.5" thickBot="1">
      <c r="A51" t="s">
        <v>115</v>
      </c>
      <c r="C51" s="20" t="s">
        <v>2</v>
      </c>
      <c r="D51" s="20" t="s">
        <v>473</v>
      </c>
      <c r="E51" s="20" t="s">
        <v>472</v>
      </c>
      <c r="F51" s="20" t="s">
        <v>471</v>
      </c>
    </row>
    <row r="52" spans="1:6">
      <c r="E52" s="17"/>
    </row>
    <row r="53" spans="1:6">
      <c r="A53" t="str">
        <f>+'Monthly Data-Hours &amp; Miles'!$C$24</f>
        <v xml:space="preserve">October </v>
      </c>
      <c r="C53" s="17">
        <f t="shared" ref="C53:C59" si="3">+D53+E53+F53</f>
        <v>6028</v>
      </c>
      <c r="D53" s="17">
        <f>+'Monthly Data-Hours &amp; Miles'!$C$45</f>
        <v>4159</v>
      </c>
      <c r="E53" s="17">
        <f>+'Monthly Data-Hours &amp; Miles'!$C$46</f>
        <v>496</v>
      </c>
      <c r="F53" s="17">
        <f>+'Monthly Data-Hours &amp; Miles'!$C$47</f>
        <v>1373</v>
      </c>
    </row>
    <row r="54" spans="1:6">
      <c r="A54" t="str">
        <f>+'Monthly Data-Hours &amp; Miles'!$D$24</f>
        <v>November</v>
      </c>
      <c r="C54" s="17">
        <f t="shared" si="3"/>
        <v>5989</v>
      </c>
      <c r="D54" s="17">
        <f>+'Monthly Data-Hours &amp; Miles'!$D$45</f>
        <v>3839</v>
      </c>
      <c r="E54" s="17">
        <f>+'Monthly Data-Hours &amp; Miles'!$D$46</f>
        <v>707</v>
      </c>
      <c r="F54" s="17">
        <f>+'Monthly Data-Hours &amp; Miles'!$D$47</f>
        <v>1443</v>
      </c>
    </row>
    <row r="55" spans="1:6">
      <c r="A55" t="str">
        <f>+'Monthly Data-Hours &amp; Miles'!$E$24</f>
        <v>December</v>
      </c>
      <c r="C55" s="17">
        <f t="shared" si="3"/>
        <v>5616</v>
      </c>
      <c r="D55" s="17">
        <f>+'Monthly Data-Hours &amp; Miles'!$E$45</f>
        <v>4141</v>
      </c>
      <c r="E55" s="17">
        <f>+'Monthly Data-Hours &amp; Miles'!$E$46</f>
        <v>489</v>
      </c>
      <c r="F55" s="17">
        <f>+'Monthly Data-Hours &amp; Miles'!$E$47</f>
        <v>986</v>
      </c>
    </row>
    <row r="56" spans="1:6">
      <c r="A56" t="str">
        <f>+'Monthly Data-Hours &amp; Miles'!$F$24</f>
        <v>January</v>
      </c>
      <c r="C56" s="17">
        <f t="shared" si="3"/>
        <v>4785</v>
      </c>
      <c r="D56" s="17">
        <f>+'Monthly Data-Hours &amp; Miles'!$F$45</f>
        <v>3455</v>
      </c>
      <c r="E56" s="17">
        <f>+'Monthly Data-Hours &amp; Miles'!$F$46</f>
        <v>454</v>
      </c>
      <c r="F56" s="17">
        <f>+'Monthly Data-Hours &amp; Miles'!$F$47</f>
        <v>876</v>
      </c>
    </row>
    <row r="57" spans="1:6">
      <c r="A57" t="str">
        <f>+'Monthly Data-Hours &amp; Miles'!$G$24</f>
        <v>February</v>
      </c>
      <c r="C57" s="17">
        <f t="shared" si="3"/>
        <v>4451</v>
      </c>
      <c r="D57" s="17">
        <f>+'Monthly Data-Hours &amp; Miles'!$G$45</f>
        <v>3080</v>
      </c>
      <c r="E57" s="17">
        <f>+'Monthly Data-Hours &amp; Miles'!$G$46</f>
        <v>467</v>
      </c>
      <c r="F57" s="17">
        <f>+'Monthly Data-Hours &amp; Miles'!$G$47</f>
        <v>904</v>
      </c>
    </row>
    <row r="58" spans="1:6">
      <c r="A58" t="str">
        <f>+'Monthly Data-Hours &amp; Miles'!$H$24</f>
        <v>March</v>
      </c>
      <c r="C58" s="17">
        <f t="shared" si="3"/>
        <v>6087</v>
      </c>
      <c r="D58" s="17">
        <f>+'Monthly Data-Hours &amp; Miles'!$H$45</f>
        <v>4439</v>
      </c>
      <c r="E58" s="17">
        <f>+'Monthly Data-Hours &amp; Miles'!$H$46</f>
        <v>532</v>
      </c>
      <c r="F58" s="17">
        <f>+'Monthly Data-Hours &amp; Miles'!$H$47</f>
        <v>1116</v>
      </c>
    </row>
    <row r="59" spans="1:6">
      <c r="A59" t="str">
        <f>+'Monthly Data-Hours &amp; Miles'!$I$24</f>
        <v>April</v>
      </c>
      <c r="C59" s="17">
        <f t="shared" si="3"/>
        <v>5433</v>
      </c>
      <c r="D59" s="17">
        <f>+'Monthly Data-Hours &amp; Miles'!$I$45</f>
        <v>3874</v>
      </c>
      <c r="E59" s="17">
        <f>+'Monthly Data-Hours &amp; Miles'!$I$46</f>
        <v>491</v>
      </c>
      <c r="F59" s="17">
        <f>+'Monthly Data-Hours &amp; Miles'!$I$47</f>
        <v>1068</v>
      </c>
    </row>
    <row r="60" spans="1:6">
      <c r="A60" t="str">
        <f>+'Monthly Data-Hours &amp; Miles'!$J$24</f>
        <v>May</v>
      </c>
      <c r="C60" s="17">
        <f t="shared" ref="C60:C64" si="4">+D60+E60+F60</f>
        <v>6088</v>
      </c>
      <c r="D60" s="17">
        <f>+'Monthly Data-Hours &amp; Miles'!$J$45</f>
        <v>4217</v>
      </c>
      <c r="E60" s="17">
        <f>+'Monthly Data-Hours &amp; Miles'!$J$46</f>
        <v>624</v>
      </c>
      <c r="F60" s="17">
        <f>+'Monthly Data-Hours &amp; Miles'!$J$47</f>
        <v>1247</v>
      </c>
    </row>
    <row r="61" spans="1:6">
      <c r="A61" t="str">
        <f>+'Monthly Data-Hours &amp; Miles'!$K$24</f>
        <v>June</v>
      </c>
      <c r="C61" s="17">
        <f t="shared" si="4"/>
        <v>6405</v>
      </c>
      <c r="D61" s="17">
        <f>+'Monthly Data-Hours &amp; Miles'!$K$45</f>
        <v>4553</v>
      </c>
      <c r="E61" s="17">
        <f>+'Monthly Data-Hours &amp; Miles'!$K$46</f>
        <v>469</v>
      </c>
      <c r="F61" s="17">
        <f>+'Monthly Data-Hours &amp; Miles'!$K$47</f>
        <v>1383</v>
      </c>
    </row>
    <row r="62" spans="1:6">
      <c r="A62" t="str">
        <f>+'Monthly Data-Hours &amp; Miles'!$L$24</f>
        <v>July</v>
      </c>
      <c r="C62" s="17">
        <f t="shared" si="4"/>
        <v>6753</v>
      </c>
      <c r="D62" s="17">
        <f>+'Monthly Data-Hours &amp; Miles'!$L$45</f>
        <v>4432</v>
      </c>
      <c r="E62" s="17">
        <f>+'Monthly Data-Hours &amp; Miles'!$L$46</f>
        <v>496</v>
      </c>
      <c r="F62" s="17">
        <f>+'Monthly Data-Hours &amp; Miles'!$L$47</f>
        <v>1825</v>
      </c>
    </row>
    <row r="63" spans="1:6">
      <c r="A63" t="str">
        <f>+'Monthly Data-Hours &amp; Miles'!$M$24</f>
        <v>August</v>
      </c>
      <c r="C63" s="17">
        <f t="shared" si="4"/>
        <v>7485</v>
      </c>
      <c r="D63" s="17">
        <f>+'Monthly Data-Hours &amp; Miles'!$M$45</f>
        <v>4979</v>
      </c>
      <c r="E63" s="17">
        <f>+'Monthly Data-Hours &amp; Miles'!$M$46</f>
        <v>625</v>
      </c>
      <c r="F63" s="17">
        <f>+'Monthly Data-Hours &amp; Miles'!$M$47</f>
        <v>1881</v>
      </c>
    </row>
    <row r="64" spans="1:6">
      <c r="A64" t="str">
        <f>+'Monthly Data-Hours &amp; Miles'!$N$24</f>
        <v>September</v>
      </c>
      <c r="C64" s="17">
        <f t="shared" si="4"/>
        <v>6788</v>
      </c>
      <c r="D64" s="17">
        <f>+'Monthly Data-Hours &amp; Miles'!$N$45</f>
        <v>4509</v>
      </c>
      <c r="E64" s="17">
        <f>+'Monthly Data-Hours &amp; Miles'!$N$46</f>
        <v>519</v>
      </c>
      <c r="F64" s="17">
        <f>+'Monthly Data-Hours &amp; Miles'!$N$47</f>
        <v>1760</v>
      </c>
    </row>
    <row r="65" spans="2:6">
      <c r="C65" s="18"/>
    </row>
    <row r="66" spans="2:6" ht="13.5" thickBot="1">
      <c r="B66" t="s">
        <v>113</v>
      </c>
      <c r="C66" s="21">
        <f>SUM(C53:C64)</f>
        <v>71908</v>
      </c>
      <c r="D66" s="21">
        <f>SUM(D53:D64)</f>
        <v>49677</v>
      </c>
      <c r="E66" s="21">
        <f>SUM(E53:E64)</f>
        <v>6369</v>
      </c>
      <c r="F66" s="21">
        <f>SUM(F53:F64)</f>
        <v>15862</v>
      </c>
    </row>
    <row r="67" spans="2:6" ht="13.5" thickTop="1"/>
    <row r="68" spans="2:6" ht="13.5" thickBot="1">
      <c r="B68" t="s">
        <v>106</v>
      </c>
      <c r="C68" s="14">
        <f>SUM(D68:F68)</f>
        <v>1</v>
      </c>
      <c r="D68" s="14">
        <f>+D66/C66</f>
        <v>0.69084107470656952</v>
      </c>
      <c r="E68" s="14">
        <f>+E66/C66</f>
        <v>8.8571508038048613E-2</v>
      </c>
      <c r="F68" s="14">
        <f>+F66/C66</f>
        <v>0.22058741725538189</v>
      </c>
    </row>
    <row r="69" spans="2:6" ht="13.5" thickTop="1"/>
  </sheetData>
  <pageMargins left="0.2" right="0.3" top="0.52" bottom="0.49" header="0.5" footer="0.5"/>
  <pageSetup scale="83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workbookViewId="0">
      <selection activeCell="E4" sqref="E4"/>
    </sheetView>
  </sheetViews>
  <sheetFormatPr defaultRowHeight="12.75"/>
  <cols>
    <col min="1" max="1" width="10.140625" bestFit="1" customWidth="1"/>
    <col min="11" max="11" width="10.28515625" bestFit="1" customWidth="1"/>
  </cols>
  <sheetData>
    <row r="1" spans="1:7">
      <c r="A1" t="s">
        <v>0</v>
      </c>
    </row>
    <row r="3" spans="1:7">
      <c r="A3" t="s">
        <v>492</v>
      </c>
      <c r="D3" s="643" t="s">
        <v>1342</v>
      </c>
      <c r="E3" s="643" t="s">
        <v>689</v>
      </c>
    </row>
    <row r="5" spans="1:7">
      <c r="A5" s="705">
        <v>44834</v>
      </c>
    </row>
    <row r="8" spans="1:7">
      <c r="C8" s="2" t="s">
        <v>294</v>
      </c>
      <c r="D8" s="2" t="s">
        <v>294</v>
      </c>
      <c r="E8" s="2" t="s">
        <v>295</v>
      </c>
      <c r="F8" s="2" t="s">
        <v>2</v>
      </c>
      <c r="G8" s="2" t="s">
        <v>106</v>
      </c>
    </row>
    <row r="10" spans="1:7">
      <c r="A10" t="s">
        <v>473</v>
      </c>
      <c r="C10" s="22">
        <f>+'Monthly Data-Container Count'!C$16</f>
        <v>764</v>
      </c>
      <c r="D10" s="22">
        <f>+'Monthly Data-Container Count'!D$16</f>
        <v>1454</v>
      </c>
      <c r="E10" s="22">
        <f>+'Monthly Data-Container Count'!E$16</f>
        <v>1637</v>
      </c>
      <c r="F10" s="22">
        <f>SUM(C10:E10)</f>
        <v>3855</v>
      </c>
      <c r="G10" s="10">
        <f>(+F10/F16)</f>
        <v>1</v>
      </c>
    </row>
    <row r="11" spans="1:7">
      <c r="G11" s="10"/>
    </row>
    <row r="12" spans="1:7">
      <c r="A12" t="s">
        <v>472</v>
      </c>
      <c r="C12" s="22">
        <f>+'Monthly Data-Container Count'!C$17</f>
        <v>0</v>
      </c>
      <c r="D12" s="22">
        <f>+'Monthly Data-Container Count'!D$17</f>
        <v>0</v>
      </c>
      <c r="E12" s="22">
        <f>+'Monthly Data-Container Count'!E$17</f>
        <v>0</v>
      </c>
      <c r="F12" s="22">
        <f>SUM(C12:E12)</f>
        <v>0</v>
      </c>
      <c r="G12" s="10">
        <f>+F12/F16</f>
        <v>0</v>
      </c>
    </row>
    <row r="13" spans="1:7">
      <c r="G13" s="10"/>
    </row>
    <row r="14" spans="1:7">
      <c r="A14" t="s">
        <v>471</v>
      </c>
      <c r="C14" s="23">
        <f>+'Monthly Data-Container Count'!C$18</f>
        <v>0</v>
      </c>
      <c r="D14" s="23">
        <f>+'Monthly Data-Container Count'!D$18</f>
        <v>0</v>
      </c>
      <c r="E14" s="23">
        <f>+'Monthly Data-Container Count'!E$18</f>
        <v>0</v>
      </c>
      <c r="F14" s="23">
        <f>SUM(C14:E14)</f>
        <v>0</v>
      </c>
      <c r="G14" s="42">
        <f>+F14/F16</f>
        <v>0</v>
      </c>
    </row>
    <row r="15" spans="1:7">
      <c r="G15" s="11"/>
    </row>
    <row r="16" spans="1:7" ht="13.5" thickBot="1">
      <c r="A16" t="s">
        <v>118</v>
      </c>
      <c r="C16" s="24">
        <f>SUM(C10:C14)</f>
        <v>764</v>
      </c>
      <c r="D16" s="24">
        <f>SUM(D10:D14)</f>
        <v>1454</v>
      </c>
      <c r="E16" s="24">
        <f>SUM(E10:E14)</f>
        <v>1637</v>
      </c>
      <c r="F16" s="24">
        <f>SUM(C16:E16)</f>
        <v>3855</v>
      </c>
      <c r="G16" s="14">
        <f>SUM(G10:G14)</f>
        <v>1</v>
      </c>
    </row>
    <row r="17" spans="1:11" ht="13.5" thickTop="1"/>
    <row r="20" spans="1:11">
      <c r="C20" s="2" t="s">
        <v>119</v>
      </c>
      <c r="D20" s="2" t="s">
        <v>121</v>
      </c>
      <c r="E20" s="2" t="s">
        <v>120</v>
      </c>
      <c r="F20" s="2" t="s">
        <v>122</v>
      </c>
      <c r="G20" s="2" t="s">
        <v>123</v>
      </c>
      <c r="H20" s="2" t="s">
        <v>124</v>
      </c>
      <c r="I20" s="2" t="s">
        <v>125</v>
      </c>
      <c r="J20" s="2" t="s">
        <v>2</v>
      </c>
      <c r="K20" s="2" t="s">
        <v>106</v>
      </c>
    </row>
    <row r="22" spans="1:11">
      <c r="A22" t="s">
        <v>473</v>
      </c>
      <c r="C22" s="22">
        <f>+'Monthly Data-Container Count'!M$16</f>
        <v>392</v>
      </c>
      <c r="D22" s="22">
        <f>+'Monthly Data-Container Count'!N$16</f>
        <v>73</v>
      </c>
      <c r="E22" s="22">
        <f>+'Monthly Data-Container Count'!O$16</f>
        <v>316</v>
      </c>
      <c r="F22" s="22">
        <f>+'Monthly Data-Container Count'!P$16</f>
        <v>6</v>
      </c>
      <c r="G22" s="22">
        <f>+'Monthly Data-Container Count'!Q$16</f>
        <v>47</v>
      </c>
      <c r="H22" s="22">
        <f>+'Monthly Data-Container Count'!R$16</f>
        <v>55</v>
      </c>
      <c r="I22" s="22">
        <f>+'Monthly Data-Container Count'!S$16</f>
        <v>0</v>
      </c>
      <c r="J22" s="22">
        <f>SUM(C22:I22)</f>
        <v>889</v>
      </c>
      <c r="K22" s="10">
        <f>ROUND(+J22/$J$28,2)</f>
        <v>0.82</v>
      </c>
    </row>
    <row r="23" spans="1:11">
      <c r="K23" s="10"/>
    </row>
    <row r="24" spans="1:11">
      <c r="A24" t="s">
        <v>472</v>
      </c>
      <c r="C24" s="22">
        <f>+'Monthly Data-Container Count'!M$17</f>
        <v>17</v>
      </c>
      <c r="D24" s="22">
        <f>+'Monthly Data-Container Count'!N$17</f>
        <v>0</v>
      </c>
      <c r="E24" s="22">
        <f>+'Monthly Data-Container Count'!O$17</f>
        <v>18</v>
      </c>
      <c r="F24" s="22">
        <f>+'Monthly Data-Container Count'!P$17</f>
        <v>1</v>
      </c>
      <c r="G24" s="22">
        <f>+'Monthly Data-Container Count'!Q$17</f>
        <v>7</v>
      </c>
      <c r="H24" s="22">
        <f>+'Monthly Data-Container Count'!R$17</f>
        <v>4</v>
      </c>
      <c r="I24" s="22">
        <f>+'Monthly Data-Container Count'!S$17</f>
        <v>0</v>
      </c>
      <c r="J24" s="22">
        <f>SUM(C24:I24)</f>
        <v>47</v>
      </c>
      <c r="K24" s="10">
        <f>ROUND(+J24/$J$28,2)</f>
        <v>0.04</v>
      </c>
    </row>
    <row r="25" spans="1:11">
      <c r="K25" s="10"/>
    </row>
    <row r="26" spans="1:11">
      <c r="A26" t="s">
        <v>471</v>
      </c>
      <c r="C26" s="23">
        <f>+'Monthly Data-Container Count'!M$18</f>
        <v>28</v>
      </c>
      <c r="D26" s="23">
        <f>+'Monthly Data-Container Count'!N$18</f>
        <v>0</v>
      </c>
      <c r="E26" s="23">
        <f>+'Monthly Data-Container Count'!O$18</f>
        <v>57</v>
      </c>
      <c r="F26" s="23">
        <f>+'Monthly Data-Container Count'!P$18</f>
        <v>0</v>
      </c>
      <c r="G26" s="23">
        <f>+'Monthly Data-Container Count'!Q$18</f>
        <v>15</v>
      </c>
      <c r="H26" s="23">
        <f>+'Monthly Data-Container Count'!R$18</f>
        <v>44</v>
      </c>
      <c r="I26" s="23">
        <f>+'Monthly Data-Container Count'!S$18</f>
        <v>0</v>
      </c>
      <c r="J26" s="23">
        <f>SUM(C26:I26)</f>
        <v>144</v>
      </c>
      <c r="K26" s="42">
        <f>ROUND(+J26/$J$28,2)</f>
        <v>0.13</v>
      </c>
    </row>
    <row r="27" spans="1:11">
      <c r="K27" s="11"/>
    </row>
    <row r="28" spans="1:11" ht="13.5" thickBot="1">
      <c r="A28" t="s">
        <v>118</v>
      </c>
      <c r="C28" s="24">
        <f t="shared" ref="C28:I28" si="0">SUM(C22:C26)</f>
        <v>437</v>
      </c>
      <c r="D28" s="24">
        <f t="shared" si="0"/>
        <v>73</v>
      </c>
      <c r="E28" s="24">
        <f t="shared" si="0"/>
        <v>391</v>
      </c>
      <c r="F28" s="24">
        <f t="shared" si="0"/>
        <v>7</v>
      </c>
      <c r="G28" s="24">
        <f t="shared" si="0"/>
        <v>69</v>
      </c>
      <c r="H28" s="24">
        <f t="shared" si="0"/>
        <v>103</v>
      </c>
      <c r="I28" s="24">
        <f t="shared" si="0"/>
        <v>0</v>
      </c>
      <c r="J28" s="24">
        <f>SUM(C28:I28)</f>
        <v>1080</v>
      </c>
      <c r="K28" s="14">
        <f>SUM(K22:K26)</f>
        <v>0.99</v>
      </c>
    </row>
    <row r="29" spans="1:11" ht="13.5" thickTop="1"/>
  </sheetData>
  <pageMargins left="0.22" right="0.3" top="0.52" bottom="1" header="0.5" footer="0.5"/>
  <pageSetup orientation="portrait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4" workbookViewId="0">
      <selection activeCell="E4" sqref="E4"/>
    </sheetView>
  </sheetViews>
  <sheetFormatPr defaultRowHeight="12.75"/>
  <cols>
    <col min="1" max="1" width="15.140625" customWidth="1"/>
    <col min="3" max="3" width="11.140625" customWidth="1"/>
    <col min="6" max="6" width="11.42578125" customWidth="1"/>
    <col min="8" max="8" width="11.28515625" customWidth="1"/>
    <col min="9" max="9" width="10.85546875" customWidth="1"/>
  </cols>
  <sheetData>
    <row r="1" spans="1:9">
      <c r="A1" t="s">
        <v>0</v>
      </c>
    </row>
    <row r="3" spans="1:9">
      <c r="A3" t="s">
        <v>500</v>
      </c>
      <c r="D3" s="643" t="s">
        <v>1342</v>
      </c>
      <c r="E3" s="643" t="s">
        <v>689</v>
      </c>
    </row>
    <row r="5" spans="1:9">
      <c r="A5" s="642" t="s">
        <v>1435</v>
      </c>
    </row>
    <row r="6" spans="1:9">
      <c r="A6" s="16"/>
    </row>
    <row r="7" spans="1:9">
      <c r="F7" t="s">
        <v>499</v>
      </c>
    </row>
    <row r="8" spans="1:9">
      <c r="A8" t="s">
        <v>498</v>
      </c>
      <c r="F8" t="s">
        <v>497</v>
      </c>
    </row>
    <row r="10" spans="1:9">
      <c r="A10" t="s">
        <v>473</v>
      </c>
      <c r="C10" s="6">
        <f>SUM('Service Counts'!J53:J68)</f>
        <v>104395.45</v>
      </c>
      <c r="D10" s="11">
        <f>+C10/C14</f>
        <v>0.43377433568657853</v>
      </c>
      <c r="F10" t="s">
        <v>473</v>
      </c>
      <c r="H10" s="6">
        <f>SUM('Service Counts'!J53:J68)+'Proforma AJEs'!$G$58</f>
        <v>104395.45</v>
      </c>
      <c r="I10" s="11">
        <f>+H10/H14</f>
        <v>0.43377433568657853</v>
      </c>
    </row>
    <row r="11" spans="1:9">
      <c r="A11" t="s">
        <v>472</v>
      </c>
      <c r="C11" s="6">
        <f>SUM('Service Counts'!S53:S68)</f>
        <v>26162.65</v>
      </c>
      <c r="D11" s="11">
        <f>+C11/C14</f>
        <v>0.10870862785255932</v>
      </c>
      <c r="F11" t="s">
        <v>472</v>
      </c>
      <c r="H11" s="6">
        <f>SUM('Service Counts'!S53:S68)+'Proforma AJEs'!$G$59</f>
        <v>26162.65</v>
      </c>
      <c r="I11" s="11">
        <f>+H11/H14</f>
        <v>0.10870862785255932</v>
      </c>
    </row>
    <row r="12" spans="1:9">
      <c r="A12" t="s">
        <v>471</v>
      </c>
      <c r="C12" s="43">
        <f>SUM('Service Counts'!AB53:AB68)</f>
        <v>110109.55</v>
      </c>
      <c r="D12" s="161">
        <f>+C12/C14</f>
        <v>0.45751703646086206</v>
      </c>
      <c r="F12" t="s">
        <v>471</v>
      </c>
      <c r="H12" s="43">
        <f>SUM('Service Counts'!AB53:AB68)+'Proforma AJEs'!$G$60</f>
        <v>110109.55</v>
      </c>
      <c r="I12" s="161">
        <f>+H12/H14</f>
        <v>0.45751703646086206</v>
      </c>
    </row>
    <row r="13" spans="1:9">
      <c r="D13" s="11"/>
      <c r="I13" s="11"/>
    </row>
    <row r="14" spans="1:9" ht="13.5" thickBot="1">
      <c r="C14" s="8">
        <f>SUM(C10:C12)</f>
        <v>240667.65000000002</v>
      </c>
      <c r="D14" s="14">
        <f>SUM(D10:D12)</f>
        <v>0.99999999999999989</v>
      </c>
      <c r="H14" s="8">
        <f>SUM(H10:H12)</f>
        <v>240667.65000000002</v>
      </c>
      <c r="I14" s="14">
        <f>SUM(I10:I12)</f>
        <v>0.99999999999999989</v>
      </c>
    </row>
    <row r="15" spans="1:9" ht="13.5" thickTop="1"/>
    <row r="17" spans="1:4">
      <c r="A17" t="s">
        <v>496</v>
      </c>
    </row>
    <row r="19" spans="1:4">
      <c r="A19" t="s">
        <v>495</v>
      </c>
    </row>
    <row r="20" spans="1:4">
      <c r="A20" t="s">
        <v>473</v>
      </c>
      <c r="C20" s="6">
        <f>SUM('Service Counts'!J89:J91)</f>
        <v>257563.86000000002</v>
      </c>
      <c r="D20" s="11">
        <f>+C20/C24</f>
        <v>1</v>
      </c>
    </row>
    <row r="21" spans="1:4">
      <c r="A21" t="s">
        <v>472</v>
      </c>
      <c r="C21" s="6">
        <f>SUM('Service Counts'!S89:S91)</f>
        <v>0</v>
      </c>
      <c r="D21" s="11">
        <f>+C21/C24</f>
        <v>0</v>
      </c>
    </row>
    <row r="22" spans="1:4">
      <c r="A22" t="s">
        <v>471</v>
      </c>
      <c r="C22" s="43">
        <f>SUM('Service Counts'!AB89:AB91)</f>
        <v>0</v>
      </c>
      <c r="D22" s="161">
        <f>+C22/C24</f>
        <v>0</v>
      </c>
    </row>
    <row r="23" spans="1:4">
      <c r="D23" s="11"/>
    </row>
    <row r="24" spans="1:4" ht="13.5" thickBot="1">
      <c r="C24" s="8">
        <f>SUM(C20:C22)</f>
        <v>257563.86000000002</v>
      </c>
      <c r="D24" s="14">
        <f>SUM(D20:D22)</f>
        <v>1</v>
      </c>
    </row>
    <row r="25" spans="1:4" ht="13.5" thickTop="1"/>
    <row r="26" spans="1:4">
      <c r="A26" t="s">
        <v>494</v>
      </c>
    </row>
    <row r="27" spans="1:4">
      <c r="A27" t="s">
        <v>473</v>
      </c>
      <c r="C27" s="6">
        <f>+'Service Counts'!J92</f>
        <v>0</v>
      </c>
      <c r="D27" s="11">
        <f>+C27/C31</f>
        <v>0</v>
      </c>
    </row>
    <row r="28" spans="1:4">
      <c r="A28" t="s">
        <v>472</v>
      </c>
      <c r="C28" s="6">
        <f>+'Service Counts'!S92</f>
        <v>15073.424999999999</v>
      </c>
      <c r="D28" s="11">
        <f>+C28/C31</f>
        <v>0.13882842173214632</v>
      </c>
    </row>
    <row r="29" spans="1:4">
      <c r="A29" t="s">
        <v>471</v>
      </c>
      <c r="C29" s="43">
        <f>+'Service Counts'!AB92</f>
        <v>93502.505000000005</v>
      </c>
      <c r="D29" s="161">
        <f>+C29/C31</f>
        <v>0.86117157826785362</v>
      </c>
    </row>
    <row r="30" spans="1:4">
      <c r="D30" s="11"/>
    </row>
    <row r="31" spans="1:4" ht="13.5" thickBot="1">
      <c r="C31" s="8">
        <f>SUM(C27:C29)</f>
        <v>108575.93000000001</v>
      </c>
      <c r="D31" s="14">
        <f>SUM(D27:D29)</f>
        <v>1</v>
      </c>
    </row>
    <row r="32" spans="1:4" ht="13.5" thickTop="1"/>
    <row r="34" spans="1:4">
      <c r="A34" t="s">
        <v>493</v>
      </c>
    </row>
    <row r="35" spans="1:4">
      <c r="A35" t="s">
        <v>473</v>
      </c>
      <c r="C35" s="6">
        <f>+C20+C27</f>
        <v>257563.86000000002</v>
      </c>
      <c r="D35" s="11">
        <f>+C35/C39</f>
        <v>0.70345771487988229</v>
      </c>
    </row>
    <row r="36" spans="1:4">
      <c r="A36" t="s">
        <v>472</v>
      </c>
      <c r="C36" s="6">
        <f>+C21+C28</f>
        <v>15073.424999999999</v>
      </c>
      <c r="D36" s="11">
        <f>+C36/C39</f>
        <v>4.1168497420070074E-2</v>
      </c>
    </row>
    <row r="37" spans="1:4">
      <c r="A37" t="s">
        <v>471</v>
      </c>
      <c r="C37" s="43">
        <f>+C22+C29</f>
        <v>93502.505000000005</v>
      </c>
      <c r="D37" s="161">
        <f>+C37/C39</f>
        <v>0.25537378770004754</v>
      </c>
    </row>
    <row r="38" spans="1:4">
      <c r="D38" s="11"/>
    </row>
    <row r="39" spans="1:4" ht="13.5" thickBot="1">
      <c r="C39" s="8">
        <f>SUM(C35:C37)</f>
        <v>366139.79000000004</v>
      </c>
      <c r="D39" s="14">
        <f>SUM(D35:D37)</f>
        <v>1</v>
      </c>
    </row>
    <row r="40" spans="1:4" ht="13.5" thickTop="1"/>
  </sheetData>
  <pageMargins left="0.27" right="0.75" top="0.49" bottom="0.45" header="0.5" footer="0.5"/>
  <pageSetup orientation="portrait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workbookViewId="0">
      <selection activeCell="I4" sqref="I4"/>
    </sheetView>
  </sheetViews>
  <sheetFormatPr defaultRowHeight="12.75"/>
  <cols>
    <col min="11" max="11" width="9.7109375" customWidth="1"/>
    <col min="12" max="12" width="10.7109375" customWidth="1"/>
    <col min="13" max="13" width="9.85546875" customWidth="1"/>
    <col min="14" max="14" width="10.5703125" customWidth="1"/>
    <col min="15" max="15" width="10" customWidth="1"/>
    <col min="16" max="16" width="9.85546875" customWidth="1"/>
    <col min="17" max="17" width="11" customWidth="1"/>
    <col min="19" max="19" width="10.7109375" bestFit="1" customWidth="1"/>
  </cols>
  <sheetData>
    <row r="1" spans="1:17">
      <c r="A1" t="s">
        <v>0</v>
      </c>
    </row>
    <row r="3" spans="1:17">
      <c r="A3" t="s">
        <v>519</v>
      </c>
      <c r="D3" s="643" t="s">
        <v>1342</v>
      </c>
      <c r="E3" s="643" t="s">
        <v>689</v>
      </c>
    </row>
    <row r="5" spans="1:17">
      <c r="A5" s="642" t="s">
        <v>1435</v>
      </c>
    </row>
    <row r="9" spans="1:17">
      <c r="A9" s="127" t="s">
        <v>518</v>
      </c>
    </row>
    <row r="11" spans="1:17">
      <c r="A11" s="127" t="s">
        <v>517</v>
      </c>
      <c r="J11" s="127" t="s">
        <v>516</v>
      </c>
    </row>
    <row r="12" spans="1:17">
      <c r="A12" s="127"/>
      <c r="J12" s="127"/>
    </row>
    <row r="13" spans="1:17" ht="13.5" thickBot="1">
      <c r="C13" s="4" t="s">
        <v>473</v>
      </c>
      <c r="D13" s="4" t="s">
        <v>471</v>
      </c>
      <c r="E13" s="4" t="s">
        <v>472</v>
      </c>
      <c r="F13" s="4" t="s">
        <v>109</v>
      </c>
      <c r="G13" s="4" t="s">
        <v>112</v>
      </c>
      <c r="H13" s="4" t="s">
        <v>2</v>
      </c>
      <c r="L13" s="4" t="s">
        <v>473</v>
      </c>
      <c r="M13" s="4" t="s">
        <v>471</v>
      </c>
      <c r="N13" s="4" t="s">
        <v>472</v>
      </c>
      <c r="O13" s="4" t="s">
        <v>109</v>
      </c>
      <c r="P13" s="4" t="s">
        <v>112</v>
      </c>
      <c r="Q13" s="4" t="s">
        <v>2</v>
      </c>
    </row>
    <row r="14" spans="1:17" ht="13.5" thickTop="1">
      <c r="C14" s="93"/>
      <c r="D14" s="93"/>
      <c r="E14" s="93"/>
      <c r="F14" s="93"/>
      <c r="G14" s="93"/>
      <c r="H14" s="93"/>
      <c r="L14" s="93"/>
      <c r="M14" s="93"/>
      <c r="N14" s="93"/>
      <c r="O14" s="93"/>
      <c r="P14" s="93"/>
      <c r="Q14" s="93"/>
    </row>
    <row r="15" spans="1:17">
      <c r="A15" s="176" t="str">
        <f>+'Monthly Data-Disposal Fees'!A12</f>
        <v>October</v>
      </c>
      <c r="C15" s="176">
        <f>+'Monthly Data-Disposal Fees'!C12</f>
        <v>0</v>
      </c>
      <c r="D15" s="176">
        <f>+'Monthly Data-Disposal Fees'!D12</f>
        <v>307</v>
      </c>
      <c r="E15" s="176">
        <f>+'Monthly Data-Disposal Fees'!E12</f>
        <v>86</v>
      </c>
      <c r="F15" s="176">
        <f>+'Monthly Data-Disposal Fees'!F12</f>
        <v>89</v>
      </c>
      <c r="G15" s="176">
        <f>+'Monthly Data-Disposal Fees'!G12</f>
        <v>234</v>
      </c>
      <c r="H15" s="176">
        <f t="shared" ref="H15:H26" si="0">SUM(C15:G15)</f>
        <v>716</v>
      </c>
      <c r="J15" s="122" t="str">
        <f>+A15</f>
        <v>October</v>
      </c>
      <c r="L15" s="87">
        <f>+'Monthly Data-Disposal Fees'!L12</f>
        <v>0</v>
      </c>
      <c r="M15" s="87">
        <f>+'Monthly Data-Disposal Fees'!M12</f>
        <v>10691.6</v>
      </c>
      <c r="N15" s="87">
        <f>+'Monthly Data-Disposal Fees'!N12</f>
        <v>2927.25</v>
      </c>
      <c r="O15" s="87">
        <f>+'Monthly Data-Disposal Fees'!O12</f>
        <v>3035.12</v>
      </c>
      <c r="P15" s="87">
        <f>+'Monthly Data-Disposal Fees'!P12</f>
        <v>8389.75</v>
      </c>
      <c r="Q15" s="6">
        <f t="shared" ref="Q15:Q26" si="1">SUM(L15:P15)</f>
        <v>25043.72</v>
      </c>
    </row>
    <row r="16" spans="1:17">
      <c r="A16" s="176" t="str">
        <f>+'Monthly Data-Disposal Fees'!A13</f>
        <v>November</v>
      </c>
      <c r="C16" s="176">
        <f>+'Monthly Data-Disposal Fees'!C13</f>
        <v>0</v>
      </c>
      <c r="D16" s="176">
        <f>+'Monthly Data-Disposal Fees'!D13</f>
        <v>294</v>
      </c>
      <c r="E16" s="176">
        <f>+'Monthly Data-Disposal Fees'!E13</f>
        <v>76</v>
      </c>
      <c r="F16" s="176">
        <f>+'Monthly Data-Disposal Fees'!F13</f>
        <v>103</v>
      </c>
      <c r="G16" s="176">
        <f>+'Monthly Data-Disposal Fees'!G13</f>
        <v>254</v>
      </c>
      <c r="H16" s="176">
        <f t="shared" si="0"/>
        <v>727</v>
      </c>
      <c r="J16" s="122" t="str">
        <f t="shared" ref="J16:J26" si="2">+A16</f>
        <v>November</v>
      </c>
      <c r="L16" s="87">
        <f>+'Monthly Data-Disposal Fees'!L13</f>
        <v>0</v>
      </c>
      <c r="M16" s="87">
        <f>+'Monthly Data-Disposal Fees'!M13</f>
        <v>10576.76</v>
      </c>
      <c r="N16" s="87">
        <f>+'Monthly Data-Disposal Fees'!N13</f>
        <v>2703.55</v>
      </c>
      <c r="O16" s="87">
        <f>+'Monthly Data-Disposal Fees'!O13</f>
        <v>3529.37</v>
      </c>
      <c r="P16" s="87">
        <f>+'Monthly Data-Disposal Fees'!P13</f>
        <v>9210.4</v>
      </c>
      <c r="Q16" s="6">
        <f t="shared" si="1"/>
        <v>26020.080000000002</v>
      </c>
    </row>
    <row r="17" spans="1:20">
      <c r="A17" s="176" t="str">
        <f>+'Monthly Data-Disposal Fees'!A14</f>
        <v>December</v>
      </c>
      <c r="C17" s="176">
        <f>+'Monthly Data-Disposal Fees'!C14</f>
        <v>0</v>
      </c>
      <c r="D17" s="176">
        <f>+'Monthly Data-Disposal Fees'!D14</f>
        <v>73</v>
      </c>
      <c r="E17" s="176">
        <f>+'Monthly Data-Disposal Fees'!E14</f>
        <v>63</v>
      </c>
      <c r="F17" s="176">
        <f>+'Monthly Data-Disposal Fees'!F14</f>
        <v>75</v>
      </c>
      <c r="G17" s="176">
        <f>+'Monthly Data-Disposal Fees'!G14</f>
        <v>182</v>
      </c>
      <c r="H17" s="176">
        <f t="shared" si="0"/>
        <v>393</v>
      </c>
      <c r="J17" s="122" t="str">
        <f t="shared" si="2"/>
        <v>December</v>
      </c>
      <c r="L17" s="87">
        <f>+'Monthly Data-Disposal Fees'!L14</f>
        <v>0</v>
      </c>
      <c r="M17" s="87">
        <f>+'Monthly Data-Disposal Fees'!M14</f>
        <v>2463.21</v>
      </c>
      <c r="N17" s="87">
        <f>+'Monthly Data-Disposal Fees'!N14</f>
        <v>2271.02</v>
      </c>
      <c r="O17" s="87">
        <f>+'Monthly Data-Disposal Fees'!O14</f>
        <v>2467.5700000000002</v>
      </c>
      <c r="P17" s="87">
        <f>+'Monthly Data-Disposal Fees'!P14</f>
        <v>6005.42</v>
      </c>
      <c r="Q17" s="6">
        <f t="shared" si="1"/>
        <v>13207.22</v>
      </c>
    </row>
    <row r="18" spans="1:20">
      <c r="A18" s="176" t="str">
        <f>+'Monthly Data-Disposal Fees'!A15</f>
        <v>January</v>
      </c>
      <c r="C18" s="176">
        <f>+'Monthly Data-Disposal Fees'!C15</f>
        <v>0</v>
      </c>
      <c r="D18" s="176">
        <f>+'Monthly Data-Disposal Fees'!D15</f>
        <v>79</v>
      </c>
      <c r="E18" s="176">
        <f>+'Monthly Data-Disposal Fees'!E15</f>
        <v>51</v>
      </c>
      <c r="F18" s="176">
        <f>+'Monthly Data-Disposal Fees'!F15</f>
        <v>66</v>
      </c>
      <c r="G18" s="176">
        <f>+'Monthly Data-Disposal Fees'!G15</f>
        <v>197</v>
      </c>
      <c r="H18" s="176">
        <f t="shared" si="0"/>
        <v>393</v>
      </c>
      <c r="J18" s="122" t="str">
        <f t="shared" si="2"/>
        <v>January</v>
      </c>
      <c r="L18" s="87">
        <f>+'Monthly Data-Disposal Fees'!L15</f>
        <v>0</v>
      </c>
      <c r="M18" s="87">
        <f>+'Monthly Data-Disposal Fees'!M15</f>
        <v>2685.93</v>
      </c>
      <c r="N18" s="87">
        <f>+'Monthly Data-Disposal Fees'!N15</f>
        <v>1790.65</v>
      </c>
      <c r="O18" s="87">
        <f>+'Monthly Data-Disposal Fees'!O15</f>
        <v>2120.06</v>
      </c>
      <c r="P18" s="87">
        <f>+'Monthly Data-Disposal Fees'!P15</f>
        <v>6343.5</v>
      </c>
      <c r="Q18" s="6">
        <f t="shared" si="1"/>
        <v>12940.14</v>
      </c>
    </row>
    <row r="19" spans="1:20">
      <c r="A19" s="176" t="str">
        <f>+'Monthly Data-Disposal Fees'!A16</f>
        <v>February</v>
      </c>
      <c r="C19" s="176">
        <f>+'Monthly Data-Disposal Fees'!C16</f>
        <v>0</v>
      </c>
      <c r="D19" s="176">
        <f>+'Monthly Data-Disposal Fees'!D16</f>
        <v>71</v>
      </c>
      <c r="E19" s="176">
        <f>+'Monthly Data-Disposal Fees'!E16</f>
        <v>52</v>
      </c>
      <c r="F19" s="176">
        <f>+'Monthly Data-Disposal Fees'!F16</f>
        <v>70</v>
      </c>
      <c r="G19" s="176">
        <f>+'Monthly Data-Disposal Fees'!G16</f>
        <v>195</v>
      </c>
      <c r="H19" s="176">
        <f t="shared" si="0"/>
        <v>388</v>
      </c>
      <c r="J19" s="122" t="str">
        <f t="shared" si="2"/>
        <v>February</v>
      </c>
      <c r="L19" s="87">
        <f>+'Monthly Data-Disposal Fees'!L16</f>
        <v>0</v>
      </c>
      <c r="M19" s="87">
        <f>+'Monthly Data-Disposal Fees'!M16</f>
        <v>2257.5</v>
      </c>
      <c r="N19" s="87">
        <f>+'Monthly Data-Disposal Fees'!N16</f>
        <v>1743.37</v>
      </c>
      <c r="O19" s="87">
        <f>+'Monthly Data-Disposal Fees'!O16</f>
        <v>2247.58</v>
      </c>
      <c r="P19" s="87">
        <f>+'Monthly Data-Disposal Fees'!P16</f>
        <v>6340.83</v>
      </c>
      <c r="Q19" s="6">
        <f t="shared" si="1"/>
        <v>12589.279999999999</v>
      </c>
    </row>
    <row r="20" spans="1:20">
      <c r="A20" s="176" t="str">
        <f>+'Monthly Data-Disposal Fees'!A17</f>
        <v>March</v>
      </c>
      <c r="C20" s="176">
        <f>+'Monthly Data-Disposal Fees'!C17</f>
        <v>0</v>
      </c>
      <c r="D20" s="176">
        <f>+'Monthly Data-Disposal Fees'!D17</f>
        <v>118</v>
      </c>
      <c r="E20" s="176">
        <f>+'Monthly Data-Disposal Fees'!E17</f>
        <v>71</v>
      </c>
      <c r="F20" s="176">
        <f>+'Monthly Data-Disposal Fees'!F17</f>
        <v>90</v>
      </c>
      <c r="G20" s="176">
        <f>+'Monthly Data-Disposal Fees'!G17</f>
        <v>251</v>
      </c>
      <c r="H20" s="176">
        <f t="shared" si="0"/>
        <v>530</v>
      </c>
      <c r="J20" s="122" t="str">
        <f t="shared" si="2"/>
        <v>March</v>
      </c>
      <c r="L20" s="87">
        <f>+'Monthly Data-Disposal Fees'!L17</f>
        <v>0</v>
      </c>
      <c r="M20" s="87">
        <f>+'Monthly Data-Disposal Fees'!M17</f>
        <v>4115.83</v>
      </c>
      <c r="N20" s="87">
        <f>+'Monthly Data-Disposal Fees'!N17</f>
        <v>2511.19</v>
      </c>
      <c r="O20" s="87">
        <f>+'Monthly Data-Disposal Fees'!O17</f>
        <v>3031.42</v>
      </c>
      <c r="P20" s="87">
        <f>+'Monthly Data-Disposal Fees'!P17</f>
        <v>8387.67</v>
      </c>
      <c r="Q20" s="6">
        <f t="shared" si="1"/>
        <v>18046.11</v>
      </c>
    </row>
    <row r="21" spans="1:20">
      <c r="A21" s="176" t="str">
        <f>+'Monthly Data-Disposal Fees'!A18</f>
        <v>April</v>
      </c>
      <c r="C21" s="176">
        <f>+'Monthly Data-Disposal Fees'!C18</f>
        <v>0</v>
      </c>
      <c r="D21" s="176">
        <f>+'Monthly Data-Disposal Fees'!D18</f>
        <v>163</v>
      </c>
      <c r="E21" s="176">
        <f>+'Monthly Data-Disposal Fees'!E18</f>
        <v>82</v>
      </c>
      <c r="F21" s="176">
        <f>+'Monthly Data-Disposal Fees'!F18</f>
        <v>81</v>
      </c>
      <c r="G21" s="176">
        <f>+'Monthly Data-Disposal Fees'!G18</f>
        <v>223</v>
      </c>
      <c r="H21" s="176">
        <f t="shared" si="0"/>
        <v>549</v>
      </c>
      <c r="J21" s="122" t="str">
        <f t="shared" si="2"/>
        <v>April</v>
      </c>
      <c r="L21" s="87">
        <f>+'Monthly Data-Disposal Fees'!L18</f>
        <v>0</v>
      </c>
      <c r="M21" s="87">
        <f>+'Monthly Data-Disposal Fees'!M18</f>
        <v>5074.9399999999996</v>
      </c>
      <c r="N21" s="87">
        <f>+'Monthly Data-Disposal Fees'!N18</f>
        <v>2634.88</v>
      </c>
      <c r="O21" s="87">
        <f>+'Monthly Data-Disposal Fees'!O18</f>
        <v>2704.42</v>
      </c>
      <c r="P21" s="87">
        <f>+'Monthly Data-Disposal Fees'!P18</f>
        <v>7143.28</v>
      </c>
      <c r="Q21" s="6">
        <f t="shared" si="1"/>
        <v>17557.52</v>
      </c>
    </row>
    <row r="22" spans="1:20">
      <c r="A22" s="176" t="str">
        <f>+'Monthly Data-Disposal Fees'!A19</f>
        <v>May</v>
      </c>
      <c r="C22" s="176">
        <f>+'Monthly Data-Disposal Fees'!C19</f>
        <v>0</v>
      </c>
      <c r="D22" s="176">
        <f>+'Monthly Data-Disposal Fees'!D19</f>
        <v>255</v>
      </c>
      <c r="E22" s="176">
        <f>+'Monthly Data-Disposal Fees'!E19</f>
        <v>119</v>
      </c>
      <c r="F22" s="176">
        <f>+'Monthly Data-Disposal Fees'!F19</f>
        <v>99</v>
      </c>
      <c r="G22" s="176">
        <f>+'Monthly Data-Disposal Fees'!G19</f>
        <v>276</v>
      </c>
      <c r="H22" s="176">
        <f t="shared" si="0"/>
        <v>749</v>
      </c>
      <c r="J22" s="122" t="str">
        <f t="shared" si="2"/>
        <v>May</v>
      </c>
      <c r="L22" s="87">
        <f>+'Monthly Data-Disposal Fees'!L19</f>
        <v>0</v>
      </c>
      <c r="M22" s="87">
        <f>+'Monthly Data-Disposal Fees'!M19</f>
        <v>8033.48</v>
      </c>
      <c r="N22" s="87">
        <f>+'Monthly Data-Disposal Fees'!N19</f>
        <v>3572.58</v>
      </c>
      <c r="O22" s="87">
        <f>+'Monthly Data-Disposal Fees'!O19</f>
        <v>3285.15</v>
      </c>
      <c r="P22" s="87">
        <f>+'Monthly Data-Disposal Fees'!P19</f>
        <v>9320.7900000000009</v>
      </c>
      <c r="Q22" s="6">
        <f t="shared" si="1"/>
        <v>24212</v>
      </c>
    </row>
    <row r="23" spans="1:20">
      <c r="A23" s="176" t="str">
        <f>+'Monthly Data-Disposal Fees'!A20</f>
        <v>June</v>
      </c>
      <c r="C23" s="176">
        <f>+'Monthly Data-Disposal Fees'!C20</f>
        <v>0</v>
      </c>
      <c r="D23" s="176">
        <f>+'Monthly Data-Disposal Fees'!D20</f>
        <v>263</v>
      </c>
      <c r="E23" s="176">
        <f>+'Monthly Data-Disposal Fees'!E20</f>
        <v>102</v>
      </c>
      <c r="F23" s="176">
        <f>+'Monthly Data-Disposal Fees'!F20</f>
        <v>96</v>
      </c>
      <c r="G23" s="176">
        <f>+'Monthly Data-Disposal Fees'!G20</f>
        <v>229</v>
      </c>
      <c r="H23" s="176">
        <f t="shared" si="0"/>
        <v>690</v>
      </c>
      <c r="J23" s="122" t="str">
        <f t="shared" si="2"/>
        <v>June</v>
      </c>
      <c r="L23" s="87">
        <f>+'Monthly Data-Disposal Fees'!L20</f>
        <v>0</v>
      </c>
      <c r="M23" s="87">
        <f>+'Monthly Data-Disposal Fees'!M20</f>
        <v>9033.5</v>
      </c>
      <c r="N23" s="87">
        <f>+'Monthly Data-Disposal Fees'!N20</f>
        <v>3355.77</v>
      </c>
      <c r="O23" s="87">
        <f>+'Monthly Data-Disposal Fees'!O20</f>
        <v>3332.79</v>
      </c>
      <c r="P23" s="87">
        <f>+'Monthly Data-Disposal Fees'!P20</f>
        <v>7934.11</v>
      </c>
      <c r="Q23" s="6">
        <f t="shared" si="1"/>
        <v>23656.170000000002</v>
      </c>
    </row>
    <row r="24" spans="1:20">
      <c r="A24" s="176" t="str">
        <f>+'Monthly Data-Disposal Fees'!A21</f>
        <v>July</v>
      </c>
      <c r="C24" s="176">
        <f>+'Monthly Data-Disposal Fees'!C21</f>
        <v>0</v>
      </c>
      <c r="D24" s="176">
        <f>+'Monthly Data-Disposal Fees'!D21</f>
        <v>338</v>
      </c>
      <c r="E24" s="176">
        <f>+'Monthly Data-Disposal Fees'!E21</f>
        <v>97</v>
      </c>
      <c r="F24" s="176">
        <f>+'Monthly Data-Disposal Fees'!F21</f>
        <v>95</v>
      </c>
      <c r="G24" s="176">
        <f>+'Monthly Data-Disposal Fees'!G21</f>
        <v>217</v>
      </c>
      <c r="H24" s="176">
        <f t="shared" si="0"/>
        <v>747</v>
      </c>
      <c r="J24" s="122" t="str">
        <f t="shared" si="2"/>
        <v>July</v>
      </c>
      <c r="L24" s="87">
        <f>+'Monthly Data-Disposal Fees'!L21</f>
        <v>0</v>
      </c>
      <c r="M24" s="87">
        <f>+'Monthly Data-Disposal Fees'!M21</f>
        <v>10609.43</v>
      </c>
      <c r="N24" s="87">
        <f>+'Monthly Data-Disposal Fees'!N21</f>
        <v>3111.49</v>
      </c>
      <c r="O24" s="87">
        <f>+'Monthly Data-Disposal Fees'!O21</f>
        <v>3316.53</v>
      </c>
      <c r="P24" s="87">
        <f>+'Monthly Data-Disposal Fees'!P21</f>
        <v>7562.49</v>
      </c>
      <c r="Q24" s="6">
        <f t="shared" si="1"/>
        <v>24599.940000000002</v>
      </c>
    </row>
    <row r="25" spans="1:20">
      <c r="A25" s="176" t="str">
        <f>+'Monthly Data-Disposal Fees'!A22</f>
        <v>August</v>
      </c>
      <c r="C25" s="176">
        <f>+'Monthly Data-Disposal Fees'!C22</f>
        <v>0</v>
      </c>
      <c r="D25" s="176">
        <f>+'Monthly Data-Disposal Fees'!D22</f>
        <v>369</v>
      </c>
      <c r="E25" s="176">
        <f>+'Monthly Data-Disposal Fees'!E22</f>
        <v>120</v>
      </c>
      <c r="F25" s="176">
        <f>+'Monthly Data-Disposal Fees'!F22</f>
        <v>118</v>
      </c>
      <c r="G25" s="176">
        <f>+'Monthly Data-Disposal Fees'!G22</f>
        <v>257</v>
      </c>
      <c r="H25" s="176">
        <f t="shared" si="0"/>
        <v>864</v>
      </c>
      <c r="J25" s="122" t="str">
        <f t="shared" si="2"/>
        <v>August</v>
      </c>
      <c r="L25" s="87">
        <f>+'Monthly Data-Disposal Fees'!L22</f>
        <v>0</v>
      </c>
      <c r="M25" s="87">
        <f>+'Monthly Data-Disposal Fees'!M22</f>
        <v>11697.04</v>
      </c>
      <c r="N25" s="87">
        <f>+'Monthly Data-Disposal Fees'!N22</f>
        <v>3931.74</v>
      </c>
      <c r="O25" s="87">
        <f>+'Monthly Data-Disposal Fees'!O22</f>
        <v>4183.72</v>
      </c>
      <c r="P25" s="87">
        <f>+'Monthly Data-Disposal Fees'!P22</f>
        <v>9009.9599999999991</v>
      </c>
      <c r="Q25" s="6">
        <f t="shared" si="1"/>
        <v>28822.46</v>
      </c>
    </row>
    <row r="26" spans="1:20" ht="13.5" thickBot="1">
      <c r="A26" s="176" t="str">
        <f>+'Monthly Data-Disposal Fees'!A23</f>
        <v>September</v>
      </c>
      <c r="C26" s="175">
        <f>+'Monthly Data-Disposal Fees'!C23</f>
        <v>0</v>
      </c>
      <c r="D26" s="175">
        <f>+'Monthly Data-Disposal Fees'!D23</f>
        <v>293</v>
      </c>
      <c r="E26" s="175">
        <f>+'Monthly Data-Disposal Fees'!E23</f>
        <v>103</v>
      </c>
      <c r="F26" s="175">
        <f>+'Monthly Data-Disposal Fees'!F23</f>
        <v>98</v>
      </c>
      <c r="G26" s="175">
        <f>+'Monthly Data-Disposal Fees'!G23</f>
        <v>234</v>
      </c>
      <c r="H26" s="175">
        <f t="shared" si="0"/>
        <v>728</v>
      </c>
      <c r="J26" s="122" t="str">
        <f t="shared" si="2"/>
        <v>September</v>
      </c>
      <c r="L26" s="173">
        <f>+'Monthly Data-Disposal Fees'!L23</f>
        <v>0</v>
      </c>
      <c r="M26" s="173">
        <f>+'Monthly Data-Disposal Fees'!M23</f>
        <v>9435.44</v>
      </c>
      <c r="N26" s="173">
        <f>+'Monthly Data-Disposal Fees'!N23</f>
        <v>3368.9</v>
      </c>
      <c r="O26" s="173">
        <f>+'Monthly Data-Disposal Fees'!O23</f>
        <v>3415.94</v>
      </c>
      <c r="P26" s="173">
        <f>+'Monthly Data-Disposal Fees'!P23</f>
        <v>8284.39</v>
      </c>
      <c r="Q26" s="7">
        <f t="shared" si="1"/>
        <v>24504.67</v>
      </c>
    </row>
    <row r="27" spans="1:20">
      <c r="C27" s="122"/>
      <c r="D27" s="122"/>
      <c r="E27" s="122"/>
      <c r="F27" s="122"/>
      <c r="G27" s="122"/>
      <c r="H27" s="122"/>
      <c r="L27" s="6"/>
      <c r="M27" s="6"/>
      <c r="N27" s="6"/>
      <c r="O27" s="6"/>
      <c r="P27" s="6"/>
      <c r="Q27" s="6"/>
      <c r="S27" t="s">
        <v>1165</v>
      </c>
    </row>
    <row r="28" spans="1:20" ht="13.5" thickBot="1">
      <c r="B28" t="s">
        <v>2</v>
      </c>
      <c r="C28" s="165">
        <f t="shared" ref="C28:H28" si="3">SUM(C15:C26)</f>
        <v>0</v>
      </c>
      <c r="D28" s="165">
        <f t="shared" si="3"/>
        <v>2623</v>
      </c>
      <c r="E28" s="165">
        <f t="shared" si="3"/>
        <v>1022</v>
      </c>
      <c r="F28" s="165">
        <f t="shared" si="3"/>
        <v>1080</v>
      </c>
      <c r="G28" s="165">
        <f t="shared" si="3"/>
        <v>2749</v>
      </c>
      <c r="H28" s="165">
        <f t="shared" si="3"/>
        <v>7474</v>
      </c>
      <c r="K28" t="s">
        <v>2</v>
      </c>
      <c r="L28" s="8">
        <f t="shared" ref="L28:Q28" si="4">SUM(L15:L26)</f>
        <v>0</v>
      </c>
      <c r="M28" s="8">
        <f t="shared" si="4"/>
        <v>86674.66</v>
      </c>
      <c r="N28" s="8">
        <f t="shared" si="4"/>
        <v>33922.39</v>
      </c>
      <c r="O28" s="8">
        <f t="shared" si="4"/>
        <v>36669.670000000006</v>
      </c>
      <c r="P28" s="8">
        <f t="shared" si="4"/>
        <v>93932.590000000011</v>
      </c>
      <c r="Q28" s="8">
        <f t="shared" si="4"/>
        <v>251199.31</v>
      </c>
      <c r="S28" s="6">
        <f>L28+M28+N28</f>
        <v>120597.05</v>
      </c>
    </row>
    <row r="29" spans="1:20" ht="13.5" thickTop="1">
      <c r="S29" s="730">
        <f>+C28+D28+E28</f>
        <v>3645</v>
      </c>
      <c r="T29" s="398" t="s">
        <v>1414</v>
      </c>
    </row>
    <row r="30" spans="1:20" ht="13.5" thickBot="1">
      <c r="C30" s="14">
        <f>+C28/H28</f>
        <v>0</v>
      </c>
      <c r="D30" s="14">
        <f>+D28/H28</f>
        <v>0.35094995986085092</v>
      </c>
      <c r="E30" s="14">
        <f>+E28/H28</f>
        <v>0.13674070109713674</v>
      </c>
      <c r="F30" s="14">
        <f>+F28/H28</f>
        <v>0.14450093658014451</v>
      </c>
      <c r="G30" s="14">
        <f>+G28/H28</f>
        <v>0.3678084024618678</v>
      </c>
      <c r="H30" s="14">
        <f>SUM(C30:G30)</f>
        <v>1</v>
      </c>
      <c r="L30" s="14">
        <f>+L28/Q28</f>
        <v>0</v>
      </c>
      <c r="M30" s="14">
        <f>+M28/Q28</f>
        <v>0.34504338407617441</v>
      </c>
      <c r="N30" s="14">
        <f>+N28/Q28</f>
        <v>0.13504173239966305</v>
      </c>
      <c r="O30" s="14">
        <f>+O28/Q28</f>
        <v>0.14597838664445378</v>
      </c>
      <c r="P30" s="14">
        <f>+P28/Q28</f>
        <v>0.37393649687970881</v>
      </c>
      <c r="Q30" s="14">
        <f>SUM(L30:P30)</f>
        <v>1</v>
      </c>
    </row>
    <row r="31" spans="1:20" ht="13.5" thickTop="1"/>
    <row r="32" spans="1:20" ht="13.5" thickBot="1">
      <c r="K32" t="s">
        <v>501</v>
      </c>
      <c r="L32" s="14">
        <f>+L28/SUM(L28:N28)</f>
        <v>0</v>
      </c>
      <c r="M32" s="14">
        <f>+M28/SUM(L28:N28)</f>
        <v>0.71871293700799477</v>
      </c>
      <c r="N32" s="14">
        <f>1-L32-M32</f>
        <v>0.28128706299200523</v>
      </c>
    </row>
    <row r="33" spans="1:17" ht="13.5" thickTop="1"/>
    <row r="34" spans="1:17">
      <c r="A34" s="127" t="s">
        <v>515</v>
      </c>
      <c r="J34" s="127" t="s">
        <v>514</v>
      </c>
    </row>
    <row r="35" spans="1:17">
      <c r="A35" s="127"/>
      <c r="J35" s="127"/>
    </row>
    <row r="36" spans="1:17" ht="13.5" thickBot="1">
      <c r="C36" s="4" t="s">
        <v>473</v>
      </c>
      <c r="D36" s="4" t="s">
        <v>471</v>
      </c>
      <c r="E36" s="4" t="s">
        <v>472</v>
      </c>
      <c r="F36" s="4" t="s">
        <v>109</v>
      </c>
      <c r="G36" s="4" t="s">
        <v>112</v>
      </c>
      <c r="H36" s="4" t="s">
        <v>2</v>
      </c>
      <c r="L36" s="4" t="s">
        <v>473</v>
      </c>
      <c r="M36" s="4" t="s">
        <v>471</v>
      </c>
      <c r="N36" s="4" t="s">
        <v>472</v>
      </c>
      <c r="O36" s="4" t="s">
        <v>109</v>
      </c>
      <c r="P36" s="4" t="s">
        <v>112</v>
      </c>
      <c r="Q36" s="4" t="s">
        <v>2</v>
      </c>
    </row>
    <row r="37" spans="1:17" ht="13.5" thickTop="1">
      <c r="C37" s="93"/>
      <c r="D37" s="93"/>
      <c r="E37" s="93"/>
      <c r="F37" s="93"/>
      <c r="G37" s="93"/>
      <c r="H37" s="93"/>
      <c r="L37" s="93"/>
      <c r="M37" s="93"/>
      <c r="N37" s="93"/>
      <c r="O37" s="93"/>
      <c r="P37" s="93"/>
      <c r="Q37" s="93"/>
    </row>
    <row r="38" spans="1:17">
      <c r="A38" s="176" t="str">
        <f>+'Monthly Data-Disposal Fees'!A35</f>
        <v>October</v>
      </c>
      <c r="C38" s="176">
        <f>+'Monthly Data-Disposal Fees'!C35</f>
        <v>856</v>
      </c>
      <c r="D38" s="176">
        <f>+'Monthly Data-Disposal Fees'!D35</f>
        <v>11</v>
      </c>
      <c r="E38" s="176">
        <f>+'Monthly Data-Disposal Fees'!E35</f>
        <v>0</v>
      </c>
      <c r="F38" s="176">
        <f>+'Monthly Data-Disposal Fees'!F35</f>
        <v>0</v>
      </c>
      <c r="G38" s="176">
        <f>+'Monthly Data-Disposal Fees'!G35</f>
        <v>0</v>
      </c>
      <c r="H38" s="122">
        <f t="shared" ref="H38:H49" si="5">SUM(C38:G38)</f>
        <v>867</v>
      </c>
      <c r="J38" s="122" t="str">
        <f>A38</f>
        <v>October</v>
      </c>
      <c r="L38" s="87">
        <f>+'Monthly Data-Disposal Fees'!L35</f>
        <v>31466.560000000001</v>
      </c>
      <c r="M38" s="87">
        <f>+'Monthly Data-Disposal Fees'!M35</f>
        <v>404.36</v>
      </c>
      <c r="N38" s="87">
        <f>+'Monthly Data-Disposal Fees'!N35</f>
        <v>0</v>
      </c>
      <c r="O38" s="87">
        <f>+'Monthly Data-Disposal Fees'!O35</f>
        <v>0</v>
      </c>
      <c r="P38" s="87">
        <f>+'Monthly Data-Disposal Fees'!P35</f>
        <v>0</v>
      </c>
      <c r="Q38" s="6">
        <f t="shared" ref="Q38:Q49" si="6">SUM(L38:P38)</f>
        <v>31870.920000000002</v>
      </c>
    </row>
    <row r="39" spans="1:17">
      <c r="A39" s="176" t="str">
        <f>+'Monthly Data-Disposal Fees'!A36</f>
        <v>November</v>
      </c>
      <c r="C39" s="176">
        <f>+'Monthly Data-Disposal Fees'!C36</f>
        <v>801</v>
      </c>
      <c r="D39" s="176">
        <f>+'Monthly Data-Disposal Fees'!D36</f>
        <v>10</v>
      </c>
      <c r="E39" s="176">
        <f>+'Monthly Data-Disposal Fees'!E36</f>
        <v>0</v>
      </c>
      <c r="F39" s="176">
        <f>+'Monthly Data-Disposal Fees'!F36</f>
        <v>7</v>
      </c>
      <c r="G39" s="176">
        <f>+'Monthly Data-Disposal Fees'!G36</f>
        <v>0</v>
      </c>
      <c r="H39" s="122">
        <f t="shared" si="5"/>
        <v>818</v>
      </c>
      <c r="J39" s="122" t="str">
        <f t="shared" ref="J39:J49" si="7">A39</f>
        <v>November</v>
      </c>
      <c r="L39" s="87">
        <f>+'Monthly Data-Disposal Fees'!L36</f>
        <v>29444.76</v>
      </c>
      <c r="M39" s="87">
        <f>+'Monthly Data-Disposal Fees'!M36</f>
        <v>367.6</v>
      </c>
      <c r="N39" s="87">
        <f>+'Monthly Data-Disposal Fees'!N36</f>
        <v>0</v>
      </c>
      <c r="O39" s="87">
        <f>+'Monthly Data-Disposal Fees'!O36</f>
        <v>0</v>
      </c>
      <c r="P39" s="87">
        <f>+'Monthly Data-Disposal Fees'!P36</f>
        <v>0</v>
      </c>
      <c r="Q39" s="6">
        <f t="shared" si="6"/>
        <v>29812.359999999997</v>
      </c>
    </row>
    <row r="40" spans="1:17">
      <c r="A40" s="176" t="str">
        <f>+'Monthly Data-Disposal Fees'!A37</f>
        <v>December</v>
      </c>
      <c r="C40" s="176">
        <f>+'Monthly Data-Disposal Fees'!C37</f>
        <v>809</v>
      </c>
      <c r="D40" s="176">
        <f>+'Monthly Data-Disposal Fees'!D37</f>
        <v>10</v>
      </c>
      <c r="E40" s="176">
        <f>+'Monthly Data-Disposal Fees'!E37</f>
        <v>2</v>
      </c>
      <c r="F40" s="176">
        <f>+'Monthly Data-Disposal Fees'!F37</f>
        <v>2</v>
      </c>
      <c r="G40" s="176">
        <f>+'Monthly Data-Disposal Fees'!G37</f>
        <v>5</v>
      </c>
      <c r="H40" s="122">
        <f t="shared" si="5"/>
        <v>828</v>
      </c>
      <c r="J40" s="122" t="str">
        <f t="shared" si="7"/>
        <v>December</v>
      </c>
      <c r="L40" s="87">
        <f>+'Monthly Data-Disposal Fees'!L37</f>
        <v>29738.84</v>
      </c>
      <c r="M40" s="87">
        <f>+'Monthly Data-Disposal Fees'!M37</f>
        <v>367.6</v>
      </c>
      <c r="N40" s="87">
        <f>+'Monthly Data-Disposal Fees'!N37</f>
        <v>73.52</v>
      </c>
      <c r="O40" s="87">
        <f>+'Monthly Data-Disposal Fees'!O37</f>
        <v>73.52</v>
      </c>
      <c r="P40" s="87">
        <f>+'Monthly Data-Disposal Fees'!P37</f>
        <v>183.8</v>
      </c>
      <c r="Q40" s="6">
        <f t="shared" si="6"/>
        <v>30437.279999999999</v>
      </c>
    </row>
    <row r="41" spans="1:17">
      <c r="A41" s="176" t="str">
        <f>+'Monthly Data-Disposal Fees'!A38</f>
        <v>January</v>
      </c>
      <c r="C41" s="176">
        <f>+'Monthly Data-Disposal Fees'!C38</f>
        <v>719</v>
      </c>
      <c r="D41" s="176">
        <f>+'Monthly Data-Disposal Fees'!D38</f>
        <v>4</v>
      </c>
      <c r="E41" s="176">
        <f>+'Monthly Data-Disposal Fees'!E38</f>
        <v>0</v>
      </c>
      <c r="F41" s="176">
        <f>+'Monthly Data-Disposal Fees'!F38</f>
        <v>0</v>
      </c>
      <c r="G41" s="176">
        <f>+'Monthly Data-Disposal Fees'!G38</f>
        <v>0</v>
      </c>
      <c r="H41" s="122">
        <f t="shared" si="5"/>
        <v>723</v>
      </c>
      <c r="J41" s="122" t="str">
        <f t="shared" si="7"/>
        <v>January</v>
      </c>
      <c r="L41" s="87">
        <f>+'Monthly Data-Disposal Fees'!L38</f>
        <v>26430.44</v>
      </c>
      <c r="M41" s="87">
        <f>+'Monthly Data-Disposal Fees'!M38</f>
        <v>147.04</v>
      </c>
      <c r="N41" s="87">
        <f>+'Monthly Data-Disposal Fees'!N38</f>
        <v>0</v>
      </c>
      <c r="O41" s="87">
        <f>+'Monthly Data-Disposal Fees'!O38</f>
        <v>0</v>
      </c>
      <c r="P41" s="87">
        <f>+'Monthly Data-Disposal Fees'!P38</f>
        <v>0</v>
      </c>
      <c r="Q41" s="6">
        <f t="shared" si="6"/>
        <v>26577.48</v>
      </c>
    </row>
    <row r="42" spans="1:17">
      <c r="A42" s="176" t="str">
        <f>+'Monthly Data-Disposal Fees'!A39</f>
        <v>February</v>
      </c>
      <c r="C42" s="176">
        <f>+'Monthly Data-Disposal Fees'!C39</f>
        <v>636</v>
      </c>
      <c r="D42" s="176">
        <f>+'Monthly Data-Disposal Fees'!D39</f>
        <v>5</v>
      </c>
      <c r="E42" s="176">
        <f>+'Monthly Data-Disposal Fees'!E39</f>
        <v>0</v>
      </c>
      <c r="F42" s="176">
        <f>+'Monthly Data-Disposal Fees'!F39</f>
        <v>0</v>
      </c>
      <c r="G42" s="176">
        <f>+'Monthly Data-Disposal Fees'!G39</f>
        <v>0</v>
      </c>
      <c r="H42" s="122">
        <f t="shared" si="5"/>
        <v>641</v>
      </c>
      <c r="J42" s="122" t="str">
        <f t="shared" si="7"/>
        <v>February</v>
      </c>
      <c r="L42" s="87">
        <f>+'Monthly Data-Disposal Fees'!L39</f>
        <v>24034.44</v>
      </c>
      <c r="M42" s="87">
        <f>+'Monthly Data-Disposal Fees'!M39</f>
        <v>188.95</v>
      </c>
      <c r="N42" s="87">
        <f>+'Monthly Data-Disposal Fees'!N39</f>
        <v>0</v>
      </c>
      <c r="O42" s="87">
        <f>+'Monthly Data-Disposal Fees'!O39</f>
        <v>0</v>
      </c>
      <c r="P42" s="87">
        <f>+'Monthly Data-Disposal Fees'!P39</f>
        <v>0</v>
      </c>
      <c r="Q42" s="6">
        <f t="shared" si="6"/>
        <v>24223.39</v>
      </c>
    </row>
    <row r="43" spans="1:17">
      <c r="A43" s="176" t="str">
        <f>+'Monthly Data-Disposal Fees'!A40</f>
        <v>March</v>
      </c>
      <c r="C43" s="176">
        <f>+'Monthly Data-Disposal Fees'!C40</f>
        <v>804</v>
      </c>
      <c r="D43" s="176">
        <f>+'Monthly Data-Disposal Fees'!D40</f>
        <v>11</v>
      </c>
      <c r="E43" s="176">
        <f>+'Monthly Data-Disposal Fees'!E40</f>
        <v>4</v>
      </c>
      <c r="F43" s="176">
        <f>+'Monthly Data-Disposal Fees'!F40</f>
        <v>2</v>
      </c>
      <c r="G43" s="176">
        <f>+'Monthly Data-Disposal Fees'!G40</f>
        <v>10</v>
      </c>
      <c r="H43" s="122">
        <f t="shared" si="5"/>
        <v>831</v>
      </c>
      <c r="J43" s="122" t="str">
        <f t="shared" si="7"/>
        <v>March</v>
      </c>
      <c r="L43" s="87">
        <f>+'Monthly Data-Disposal Fees'!L40</f>
        <v>30383.16</v>
      </c>
      <c r="M43" s="87">
        <f>+'Monthly Data-Disposal Fees'!M40</f>
        <v>415.69</v>
      </c>
      <c r="N43" s="87">
        <f>+'Monthly Data-Disposal Fees'!N40</f>
        <v>151.16</v>
      </c>
      <c r="O43" s="87">
        <f>+'Monthly Data-Disposal Fees'!O40</f>
        <v>75.58</v>
      </c>
      <c r="P43" s="87">
        <f>+'Monthly Data-Disposal Fees'!P40</f>
        <v>377.9</v>
      </c>
      <c r="Q43" s="6">
        <f t="shared" si="6"/>
        <v>31403.49</v>
      </c>
    </row>
    <row r="44" spans="1:17">
      <c r="A44" s="176" t="str">
        <f>+'Monthly Data-Disposal Fees'!A41</f>
        <v>April</v>
      </c>
      <c r="C44" s="176">
        <f>+'Monthly Data-Disposal Fees'!C41</f>
        <v>798</v>
      </c>
      <c r="D44" s="176">
        <f>+'Monthly Data-Disposal Fees'!D41</f>
        <v>6</v>
      </c>
      <c r="E44" s="176">
        <f>+'Monthly Data-Disposal Fees'!E41</f>
        <v>1</v>
      </c>
      <c r="F44" s="176">
        <f>+'Monthly Data-Disposal Fees'!F41</f>
        <v>0</v>
      </c>
      <c r="G44" s="176">
        <f>+'Monthly Data-Disposal Fees'!G41</f>
        <v>15</v>
      </c>
      <c r="H44" s="122">
        <f t="shared" si="5"/>
        <v>820</v>
      </c>
      <c r="J44" s="122" t="str">
        <f t="shared" si="7"/>
        <v>April</v>
      </c>
      <c r="L44" s="87">
        <f>+'Monthly Data-Disposal Fees'!L41</f>
        <v>30156.42</v>
      </c>
      <c r="M44" s="87">
        <f>+'Monthly Data-Disposal Fees'!M41</f>
        <v>226.74</v>
      </c>
      <c r="N44" s="87">
        <f>+'Monthly Data-Disposal Fees'!N41</f>
        <v>37.79</v>
      </c>
      <c r="O44" s="87">
        <f>+'Monthly Data-Disposal Fees'!O41</f>
        <v>0</v>
      </c>
      <c r="P44" s="87">
        <f>+'Monthly Data-Disposal Fees'!P41</f>
        <v>566.85</v>
      </c>
      <c r="Q44" s="6">
        <f t="shared" si="6"/>
        <v>30987.8</v>
      </c>
    </row>
    <row r="45" spans="1:17">
      <c r="A45" s="176" t="str">
        <f>+'Monthly Data-Disposal Fees'!A42</f>
        <v>May</v>
      </c>
      <c r="C45" s="176">
        <f>+'Monthly Data-Disposal Fees'!C42</f>
        <v>962</v>
      </c>
      <c r="D45" s="176">
        <f>+'Monthly Data-Disposal Fees'!D42</f>
        <v>10</v>
      </c>
      <c r="E45" s="176">
        <f>+'Monthly Data-Disposal Fees'!E42</f>
        <v>0</v>
      </c>
      <c r="F45" s="176">
        <f>+'Monthly Data-Disposal Fees'!F42</f>
        <v>0</v>
      </c>
      <c r="G45" s="176">
        <f>+'Monthly Data-Disposal Fees'!G42</f>
        <v>0</v>
      </c>
      <c r="H45" s="122">
        <f t="shared" si="5"/>
        <v>972</v>
      </c>
      <c r="J45" s="122" t="str">
        <f t="shared" si="7"/>
        <v>May</v>
      </c>
      <c r="L45" s="87">
        <f>+'Monthly Data-Disposal Fees'!L42</f>
        <v>36353.980000000003</v>
      </c>
      <c r="M45" s="87">
        <f>+'Monthly Data-Disposal Fees'!M42</f>
        <v>377.9</v>
      </c>
      <c r="N45" s="87">
        <f>+'Monthly Data-Disposal Fees'!N42</f>
        <v>0</v>
      </c>
      <c r="O45" s="87">
        <f>+'Monthly Data-Disposal Fees'!O42</f>
        <v>0</v>
      </c>
      <c r="P45" s="87">
        <f>+'Monthly Data-Disposal Fees'!P42</f>
        <v>0</v>
      </c>
      <c r="Q45" s="6">
        <f t="shared" si="6"/>
        <v>36731.880000000005</v>
      </c>
    </row>
    <row r="46" spans="1:17">
      <c r="A46" s="176" t="str">
        <f>+'Monthly Data-Disposal Fees'!A43</f>
        <v>June</v>
      </c>
      <c r="C46" s="176">
        <f>+'Monthly Data-Disposal Fees'!C43</f>
        <v>1215</v>
      </c>
      <c r="D46" s="176">
        <f>+'Monthly Data-Disposal Fees'!D43</f>
        <v>8</v>
      </c>
      <c r="E46" s="176">
        <f>+'Monthly Data-Disposal Fees'!E43</f>
        <v>0</v>
      </c>
      <c r="F46" s="176">
        <f>+'Monthly Data-Disposal Fees'!F43</f>
        <v>0</v>
      </c>
      <c r="G46" s="176">
        <f>+'Monthly Data-Disposal Fees'!G43</f>
        <v>0</v>
      </c>
      <c r="H46" s="122">
        <f t="shared" si="5"/>
        <v>1223</v>
      </c>
      <c r="J46" s="122" t="str">
        <f t="shared" si="7"/>
        <v>June</v>
      </c>
      <c r="L46" s="87">
        <f>+'Monthly Data-Disposal Fees'!L43</f>
        <v>45914.85</v>
      </c>
      <c r="M46" s="87">
        <f>+'Monthly Data-Disposal Fees'!M43</f>
        <v>302.32</v>
      </c>
      <c r="N46" s="87">
        <f>+'Monthly Data-Disposal Fees'!N43</f>
        <v>0</v>
      </c>
      <c r="O46" s="87">
        <f>+'Monthly Data-Disposal Fees'!O43</f>
        <v>0</v>
      </c>
      <c r="P46" s="87">
        <f>+'Monthly Data-Disposal Fees'!P43</f>
        <v>0</v>
      </c>
      <c r="Q46" s="6">
        <f t="shared" si="6"/>
        <v>46217.17</v>
      </c>
    </row>
    <row r="47" spans="1:17">
      <c r="A47" s="176" t="str">
        <f>+'Monthly Data-Disposal Fees'!A44</f>
        <v>July</v>
      </c>
      <c r="C47" s="176">
        <f>+'Monthly Data-Disposal Fees'!C44</f>
        <v>1202</v>
      </c>
      <c r="D47" s="176">
        <f>+'Monthly Data-Disposal Fees'!D44</f>
        <v>15</v>
      </c>
      <c r="E47" s="176">
        <f>+'Monthly Data-Disposal Fees'!E44</f>
        <v>0</v>
      </c>
      <c r="F47" s="176">
        <f>+'Monthly Data-Disposal Fees'!F44</f>
        <v>0</v>
      </c>
      <c r="G47" s="176">
        <f>+'Monthly Data-Disposal Fees'!G44</f>
        <v>0</v>
      </c>
      <c r="H47" s="122">
        <f t="shared" si="5"/>
        <v>1217</v>
      </c>
      <c r="J47" s="122" t="str">
        <f t="shared" si="7"/>
        <v>July</v>
      </c>
      <c r="L47" s="87">
        <f>+'Monthly Data-Disposal Fees'!L44</f>
        <v>45423.58</v>
      </c>
      <c r="M47" s="87">
        <f>+'Monthly Data-Disposal Fees'!M44</f>
        <v>566.85</v>
      </c>
      <c r="N47" s="87">
        <f>+'Monthly Data-Disposal Fees'!N44</f>
        <v>0</v>
      </c>
      <c r="O47" s="87">
        <f>+'Monthly Data-Disposal Fees'!O44</f>
        <v>0</v>
      </c>
      <c r="P47" s="87">
        <f>+'Monthly Data-Disposal Fees'!P44</f>
        <v>0</v>
      </c>
      <c r="Q47" s="6">
        <f t="shared" si="6"/>
        <v>45990.43</v>
      </c>
    </row>
    <row r="48" spans="1:17">
      <c r="A48" s="176" t="str">
        <f>+'Monthly Data-Disposal Fees'!A45</f>
        <v>August</v>
      </c>
      <c r="C48" s="176">
        <f>+'Monthly Data-Disposal Fees'!C45</f>
        <v>1297</v>
      </c>
      <c r="D48" s="176">
        <f>+'Monthly Data-Disposal Fees'!D45</f>
        <v>15</v>
      </c>
      <c r="E48" s="176">
        <f>+'Monthly Data-Disposal Fees'!E45</f>
        <v>0</v>
      </c>
      <c r="F48" s="176">
        <f>+'Monthly Data-Disposal Fees'!F45</f>
        <v>0</v>
      </c>
      <c r="G48" s="176">
        <f>+'Monthly Data-Disposal Fees'!G45</f>
        <v>0</v>
      </c>
      <c r="H48" s="122">
        <f t="shared" si="5"/>
        <v>1312</v>
      </c>
      <c r="J48" s="122" t="str">
        <f t="shared" si="7"/>
        <v>August</v>
      </c>
      <c r="L48" s="87">
        <f>+'Monthly Data-Disposal Fees'!L45</f>
        <v>49013.63</v>
      </c>
      <c r="M48" s="87">
        <f>+'Monthly Data-Disposal Fees'!M45</f>
        <v>566.85</v>
      </c>
      <c r="N48" s="87">
        <f>+'Monthly Data-Disposal Fees'!N45</f>
        <v>0</v>
      </c>
      <c r="O48" s="87">
        <f>+'Monthly Data-Disposal Fees'!O45</f>
        <v>0</v>
      </c>
      <c r="P48" s="87">
        <f>+'Monthly Data-Disposal Fees'!P45</f>
        <v>0</v>
      </c>
      <c r="Q48" s="6">
        <f t="shared" si="6"/>
        <v>49580.479999999996</v>
      </c>
    </row>
    <row r="49" spans="1:19" ht="13.5" thickBot="1">
      <c r="A49" s="176" t="str">
        <f>+'Monthly Data-Disposal Fees'!A46</f>
        <v>September</v>
      </c>
      <c r="C49" s="175">
        <f>+'Monthly Data-Disposal Fees'!C46</f>
        <v>1138</v>
      </c>
      <c r="D49" s="175">
        <f>+'Monthly Data-Disposal Fees'!D46</f>
        <v>11</v>
      </c>
      <c r="E49" s="175">
        <f>+'Monthly Data-Disposal Fees'!E46</f>
        <v>0</v>
      </c>
      <c r="F49" s="175">
        <f>+'Monthly Data-Disposal Fees'!F46</f>
        <v>0</v>
      </c>
      <c r="G49" s="175">
        <f>+'Monthly Data-Disposal Fees'!G46</f>
        <v>0</v>
      </c>
      <c r="H49" s="174">
        <f t="shared" si="5"/>
        <v>1149</v>
      </c>
      <c r="J49" s="122" t="str">
        <f t="shared" si="7"/>
        <v>September</v>
      </c>
      <c r="L49" s="173">
        <f>+'Monthly Data-Disposal Fees'!L46</f>
        <v>43005.02</v>
      </c>
      <c r="M49" s="173">
        <f>+'Monthly Data-Disposal Fees'!M46</f>
        <v>415.69</v>
      </c>
      <c r="N49" s="173">
        <f>+'Monthly Data-Disposal Fees'!N46</f>
        <v>0</v>
      </c>
      <c r="O49" s="173">
        <f>+'Monthly Data-Disposal Fees'!O46</f>
        <v>0</v>
      </c>
      <c r="P49" s="173">
        <f>+'Monthly Data-Disposal Fees'!P46</f>
        <v>0</v>
      </c>
      <c r="Q49" s="7">
        <f t="shared" si="6"/>
        <v>43420.71</v>
      </c>
    </row>
    <row r="50" spans="1:19">
      <c r="C50" s="122"/>
      <c r="D50" s="122"/>
      <c r="E50" s="122"/>
      <c r="F50" s="122"/>
      <c r="G50" s="122"/>
      <c r="H50" s="122"/>
      <c r="L50" s="6"/>
      <c r="M50" s="6"/>
      <c r="N50" s="6"/>
      <c r="O50" s="6"/>
      <c r="P50" s="6"/>
      <c r="Q50" s="6"/>
    </row>
    <row r="51" spans="1:19" ht="13.5" thickBot="1">
      <c r="B51" t="s">
        <v>2</v>
      </c>
      <c r="C51" s="165">
        <f t="shared" ref="C51:H51" si="8">SUM(C38:C49)</f>
        <v>11237</v>
      </c>
      <c r="D51" s="165">
        <f t="shared" si="8"/>
        <v>116</v>
      </c>
      <c r="E51" s="165">
        <f t="shared" si="8"/>
        <v>7</v>
      </c>
      <c r="F51" s="165">
        <f t="shared" si="8"/>
        <v>11</v>
      </c>
      <c r="G51" s="165">
        <f t="shared" si="8"/>
        <v>30</v>
      </c>
      <c r="H51" s="165">
        <f t="shared" si="8"/>
        <v>11401</v>
      </c>
      <c r="K51" t="s">
        <v>2</v>
      </c>
      <c r="L51" s="8">
        <f t="shared" ref="L51:Q51" si="9">SUM(L38:L49)</f>
        <v>421365.68000000005</v>
      </c>
      <c r="M51" s="8">
        <f t="shared" si="9"/>
        <v>4347.59</v>
      </c>
      <c r="N51" s="8">
        <f t="shared" si="9"/>
        <v>262.47000000000003</v>
      </c>
      <c r="O51" s="8">
        <f t="shared" si="9"/>
        <v>149.1</v>
      </c>
      <c r="P51" s="8">
        <f t="shared" si="9"/>
        <v>1128.5500000000002</v>
      </c>
      <c r="Q51" s="8">
        <f t="shared" si="9"/>
        <v>427253.38999999996</v>
      </c>
      <c r="S51" s="6">
        <f>L51+M51+N51</f>
        <v>425975.74000000005</v>
      </c>
    </row>
    <row r="52" spans="1:19" ht="13.5" thickTop="1"/>
    <row r="53" spans="1:19" ht="13.5" thickBot="1">
      <c r="C53" s="14">
        <f>+C51/H51</f>
        <v>0.98561529690378036</v>
      </c>
      <c r="D53" s="14">
        <f>+D51/H51</f>
        <v>1.0174546092448031E-2</v>
      </c>
      <c r="E53" s="14">
        <f>+E51/H51</f>
        <v>6.1398122971669151E-4</v>
      </c>
      <c r="F53" s="14">
        <f>+F51/H51</f>
        <v>9.6482764669765812E-4</v>
      </c>
      <c r="G53" s="14">
        <f>+G51/H51</f>
        <v>2.6313481273572492E-3</v>
      </c>
      <c r="H53" s="14">
        <f>SUM(C53:G53)</f>
        <v>1</v>
      </c>
      <c r="L53" s="14">
        <f>+L51/Q51</f>
        <v>0.98621962952710596</v>
      </c>
      <c r="M53" s="14">
        <f>+M51/Q51</f>
        <v>1.0175671163194283E-2</v>
      </c>
      <c r="N53" s="14">
        <f>+N51/Q51</f>
        <v>6.143192918843781E-4</v>
      </c>
      <c r="O53" s="14">
        <f>+O51/Q51</f>
        <v>3.4897324044637774E-4</v>
      </c>
      <c r="P53" s="14">
        <f>+P51/Q51</f>
        <v>2.6414067773692803E-3</v>
      </c>
      <c r="Q53" s="14">
        <f>SUM(L53:P53)</f>
        <v>1.0000000000000002</v>
      </c>
    </row>
    <row r="54" spans="1:19" ht="13.5" thickTop="1"/>
    <row r="55" spans="1:19" ht="13.5" thickBot="1">
      <c r="K55" t="s">
        <v>501</v>
      </c>
      <c r="L55" s="14">
        <f>+L51/SUM(L51:N51)</f>
        <v>0.98917764659555496</v>
      </c>
      <c r="M55" s="14">
        <f>+M51/SUM(L51:N51)</f>
        <v>1.0206191554476787E-2</v>
      </c>
      <c r="N55" s="14">
        <f>1-L55-M55</f>
        <v>6.1616184996825252E-4</v>
      </c>
      <c r="S55" s="6">
        <f>S28+S51</f>
        <v>546572.79</v>
      </c>
    </row>
    <row r="56" spans="1:19" ht="13.5" thickTop="1"/>
  </sheetData>
  <pageMargins left="0.25" right="0.25" top="0.25" bottom="0.25" header="0.5" footer="0.5"/>
  <pageSetup scale="71" orientation="landscape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3"/>
  <sheetViews>
    <sheetView zoomScaleNormal="100" workbookViewId="0">
      <pane xSplit="1" ySplit="8" topLeftCell="B81" activePane="bottomRight" state="frozen"/>
      <selection pane="topRight" activeCell="B1" sqref="B1"/>
      <selection pane="bottomLeft" activeCell="A9" sqref="A9"/>
      <selection pane="bottomRight" activeCell="L35" sqref="L35"/>
    </sheetView>
  </sheetViews>
  <sheetFormatPr defaultRowHeight="12.75"/>
  <cols>
    <col min="1" max="1" width="18.85546875" customWidth="1"/>
    <col min="2" max="2" width="7.140625" customWidth="1"/>
    <col min="3" max="3" width="10" customWidth="1"/>
    <col min="4" max="4" width="9.140625" customWidth="1"/>
    <col min="5" max="5" width="12.7109375" customWidth="1"/>
    <col min="6" max="6" width="9.42578125" customWidth="1"/>
    <col min="7" max="7" width="8.85546875" customWidth="1"/>
    <col min="8" max="8" width="13.85546875" customWidth="1"/>
    <col min="9" max="9" width="9.42578125" customWidth="1"/>
    <col min="10" max="10" width="13.5703125" customWidth="1"/>
    <col min="11" max="11" width="7.42578125" customWidth="1"/>
    <col min="12" max="12" width="10" customWidth="1"/>
    <col min="13" max="13" width="9.7109375" customWidth="1"/>
    <col min="14" max="14" width="11.5703125" customWidth="1"/>
    <col min="15" max="16" width="8.5703125" customWidth="1"/>
    <col min="17" max="17" width="11.42578125" customWidth="1"/>
    <col min="18" max="18" width="9.42578125" customWidth="1"/>
    <col min="19" max="19" width="12.28515625" customWidth="1"/>
    <col min="20" max="20" width="8.140625" customWidth="1"/>
    <col min="21" max="21" width="9.28515625" customWidth="1"/>
    <col min="22" max="22" width="8.5703125" customWidth="1"/>
    <col min="23" max="23" width="11.5703125" customWidth="1"/>
    <col min="24" max="24" width="9.85546875" customWidth="1"/>
    <col min="25" max="25" width="8.42578125" customWidth="1"/>
    <col min="26" max="26" width="11.42578125" customWidth="1"/>
    <col min="27" max="27" width="9.42578125" customWidth="1"/>
    <col min="28" max="28" width="12.28515625" customWidth="1"/>
    <col min="29" max="29" width="12" customWidth="1"/>
    <col min="31" max="31" width="13.140625" customWidth="1"/>
    <col min="32" max="32" width="14.140625" customWidth="1"/>
  </cols>
  <sheetData>
    <row r="1" spans="1:34">
      <c r="A1" t="s">
        <v>0</v>
      </c>
    </row>
    <row r="2" spans="1:34">
      <c r="A2" t="s">
        <v>537</v>
      </c>
      <c r="D2" s="643" t="s">
        <v>1342</v>
      </c>
      <c r="E2" s="647" t="s">
        <v>689</v>
      </c>
      <c r="G2" t="s">
        <v>536</v>
      </c>
    </row>
    <row r="3" spans="1:34">
      <c r="A3" s="652" t="s">
        <v>1456</v>
      </c>
      <c r="G3" t="s">
        <v>535</v>
      </c>
    </row>
    <row r="5" spans="1:34" ht="13.5" thickBot="1">
      <c r="C5" s="137" t="s">
        <v>457</v>
      </c>
      <c r="D5" s="5"/>
      <c r="E5" s="5"/>
      <c r="F5" s="137" t="s">
        <v>457</v>
      </c>
      <c r="G5" s="5"/>
      <c r="H5" s="5"/>
      <c r="I5" s="137" t="s">
        <v>534</v>
      </c>
      <c r="J5" s="5"/>
      <c r="L5" s="137" t="s">
        <v>464</v>
      </c>
      <c r="M5" s="5"/>
      <c r="N5" s="5"/>
      <c r="O5" s="137" t="s">
        <v>464</v>
      </c>
      <c r="P5" s="5"/>
      <c r="Q5" s="5"/>
      <c r="R5" s="137" t="s">
        <v>533</v>
      </c>
      <c r="S5" s="5"/>
      <c r="U5" s="137" t="s">
        <v>532</v>
      </c>
      <c r="V5" s="5"/>
      <c r="W5" s="5"/>
      <c r="X5" s="137" t="s">
        <v>532</v>
      </c>
      <c r="Y5" s="5"/>
      <c r="Z5" s="5"/>
      <c r="AA5" s="137" t="s">
        <v>531</v>
      </c>
      <c r="AB5" s="5"/>
    </row>
    <row r="6" spans="1:34" ht="13.5" thickBot="1">
      <c r="C6" s="653" t="s">
        <v>1455</v>
      </c>
      <c r="D6" s="5"/>
      <c r="E6" s="5"/>
      <c r="F6" s="653" t="s">
        <v>1453</v>
      </c>
      <c r="G6" s="5"/>
      <c r="H6" s="5"/>
      <c r="I6" s="137" t="s">
        <v>530</v>
      </c>
      <c r="J6" s="5"/>
      <c r="L6" s="653" t="str">
        <f>+C6</f>
        <v xml:space="preserve">  October 1 - September 30, 2022</v>
      </c>
      <c r="M6" s="5"/>
      <c r="N6" s="5"/>
      <c r="O6" s="653" t="str">
        <f>+F6</f>
        <v xml:space="preserve"> October 1 - September 30, 2022</v>
      </c>
      <c r="P6" s="5"/>
      <c r="Q6" s="5"/>
      <c r="R6" s="137" t="s">
        <v>530</v>
      </c>
      <c r="S6" s="5"/>
      <c r="T6" s="18"/>
      <c r="U6" s="653" t="str">
        <f>+L6</f>
        <v xml:space="preserve">  October 1 - September 30, 2022</v>
      </c>
      <c r="V6" s="5"/>
      <c r="W6" s="5"/>
      <c r="X6" s="653" t="str">
        <f>+O6</f>
        <v xml:space="preserve"> October 1 - September 30, 2022</v>
      </c>
      <c r="Y6" s="5"/>
      <c r="Z6" s="5"/>
      <c r="AA6" s="137" t="s">
        <v>530</v>
      </c>
      <c r="AB6" s="5"/>
      <c r="AC6" s="18"/>
      <c r="AD6" s="2" t="s">
        <v>2</v>
      </c>
    </row>
    <row r="7" spans="1:34">
      <c r="C7" s="2"/>
      <c r="D7" s="2"/>
      <c r="E7" s="2"/>
      <c r="F7" s="2"/>
      <c r="G7" s="2"/>
      <c r="H7" s="2"/>
      <c r="I7" s="193" t="s">
        <v>529</v>
      </c>
      <c r="J7" s="192"/>
      <c r="L7" s="2"/>
      <c r="M7" s="2"/>
      <c r="N7" s="2"/>
      <c r="O7" s="2"/>
      <c r="P7" s="2"/>
      <c r="Q7" s="2"/>
      <c r="R7" s="193" t="s">
        <v>529</v>
      </c>
      <c r="S7" s="192"/>
      <c r="T7" s="18"/>
      <c r="U7" s="2"/>
      <c r="V7" s="2"/>
      <c r="W7" s="2"/>
      <c r="X7" s="2"/>
      <c r="Y7" s="2"/>
      <c r="Z7" s="2"/>
      <c r="AA7" s="193" t="s">
        <v>529</v>
      </c>
      <c r="AB7" s="192"/>
      <c r="AC7" s="93"/>
      <c r="AD7" s="93" t="s">
        <v>104</v>
      </c>
    </row>
    <row r="8" spans="1:34" ht="13.5" thickBot="1">
      <c r="A8" s="5" t="s">
        <v>450</v>
      </c>
      <c r="B8" s="5"/>
      <c r="C8" s="20" t="s">
        <v>198</v>
      </c>
      <c r="D8" s="20" t="s">
        <v>99</v>
      </c>
      <c r="E8" s="20" t="s">
        <v>2</v>
      </c>
      <c r="F8" s="20" t="s">
        <v>198</v>
      </c>
      <c r="G8" s="20" t="s">
        <v>99</v>
      </c>
      <c r="H8" s="20" t="s">
        <v>2</v>
      </c>
      <c r="I8" s="130" t="s">
        <v>198</v>
      </c>
      <c r="J8" s="129" t="s">
        <v>2</v>
      </c>
      <c r="L8" s="20" t="s">
        <v>198</v>
      </c>
      <c r="M8" s="20" t="s">
        <v>99</v>
      </c>
      <c r="N8" s="20" t="s">
        <v>2</v>
      </c>
      <c r="O8" s="20" t="s">
        <v>198</v>
      </c>
      <c r="P8" s="20" t="s">
        <v>99</v>
      </c>
      <c r="Q8" s="20" t="s">
        <v>2</v>
      </c>
      <c r="R8" s="130" t="s">
        <v>198</v>
      </c>
      <c r="S8" s="129" t="s">
        <v>2</v>
      </c>
      <c r="T8" s="18"/>
      <c r="U8" s="20" t="s">
        <v>198</v>
      </c>
      <c r="V8" s="20" t="s">
        <v>99</v>
      </c>
      <c r="W8" s="20" t="s">
        <v>2</v>
      </c>
      <c r="X8" s="20" t="s">
        <v>198</v>
      </c>
      <c r="Y8" s="20" t="s">
        <v>99</v>
      </c>
      <c r="Z8" s="20" t="s">
        <v>2</v>
      </c>
      <c r="AA8" s="130" t="s">
        <v>198</v>
      </c>
      <c r="AB8" s="129" t="s">
        <v>2</v>
      </c>
      <c r="AC8" s="93"/>
      <c r="AD8" s="191" t="s">
        <v>198</v>
      </c>
      <c r="AE8" s="191" t="s">
        <v>2</v>
      </c>
    </row>
    <row r="9" spans="1:34">
      <c r="A9" t="s">
        <v>447</v>
      </c>
      <c r="I9" s="136"/>
      <c r="J9" s="134"/>
      <c r="R9" s="136"/>
      <c r="S9" s="134"/>
      <c r="T9" s="18"/>
      <c r="AA9" s="136"/>
      <c r="AB9" s="134"/>
      <c r="AC9" s="18"/>
    </row>
    <row r="10" spans="1:34">
      <c r="A10" t="s">
        <v>446</v>
      </c>
      <c r="C10" s="122">
        <f>+'Service Count Data'!$X$49</f>
        <v>9</v>
      </c>
      <c r="D10" s="656">
        <v>16.149999999999999</v>
      </c>
      <c r="E10" s="56">
        <f t="shared" ref="E10:E31" si="0">+C10*D10</f>
        <v>145.35</v>
      </c>
      <c r="F10" s="122">
        <f>+'Service Count Data'!$AD$49</f>
        <v>0</v>
      </c>
      <c r="G10" s="656">
        <v>16.149999999999999</v>
      </c>
      <c r="H10" s="56">
        <f t="shared" ref="H10:H31" si="1">+F10*G10</f>
        <v>0</v>
      </c>
      <c r="I10" s="186">
        <f>+C10+F10</f>
        <v>9</v>
      </c>
      <c r="J10" s="178">
        <f>+E10+H10</f>
        <v>145.35</v>
      </c>
      <c r="L10" s="122">
        <f>+'Service Count Data'!$X$50</f>
        <v>0</v>
      </c>
      <c r="M10" s="657">
        <v>13.65</v>
      </c>
      <c r="N10" s="56">
        <f t="shared" ref="N10:N31" si="2">+L10*M10</f>
        <v>0</v>
      </c>
      <c r="O10" s="122">
        <f>+'Service Count Data'!$AD$50</f>
        <v>0</v>
      </c>
      <c r="P10" s="657">
        <v>13.65</v>
      </c>
      <c r="Q10" s="56">
        <f t="shared" ref="Q10:Q31" si="3">+O10*P10</f>
        <v>0</v>
      </c>
      <c r="R10" s="186">
        <f t="shared" ref="R10:R31" si="4">+L10+O10</f>
        <v>0</v>
      </c>
      <c r="S10" s="178">
        <f t="shared" ref="S10:S31" si="5">+N10+Q10</f>
        <v>0</v>
      </c>
      <c r="U10" s="122">
        <f>+'Service Count Data'!$X$51</f>
        <v>0</v>
      </c>
      <c r="V10" s="657">
        <v>13.65</v>
      </c>
      <c r="W10" s="56">
        <f t="shared" ref="W10:W31" si="6">+U10*V10</f>
        <v>0</v>
      </c>
      <c r="X10" s="122">
        <f>+'Service Count Data'!$AD$51</f>
        <v>0</v>
      </c>
      <c r="Y10" s="657">
        <v>13.65</v>
      </c>
      <c r="Z10" s="56">
        <f t="shared" ref="Z10:Z31" si="7">+X10*Y10</f>
        <v>0</v>
      </c>
      <c r="AA10" s="186">
        <f t="shared" ref="AA10:AA31" si="8">+U10+X10</f>
        <v>0</v>
      </c>
      <c r="AB10" s="178">
        <f t="shared" ref="AB10:AB31" si="9">+W10+Z10</f>
        <v>0</v>
      </c>
      <c r="AC10" s="56">
        <f t="shared" ref="AC10:AC41" si="10">+R10+AA10</f>
        <v>0</v>
      </c>
      <c r="AD10" s="122">
        <f t="shared" ref="AD10:AD31" si="11">+I10+R10+AA10</f>
        <v>9</v>
      </c>
      <c r="AE10" s="56">
        <f t="shared" ref="AE10:AE31" si="12">+J10+S10+AB10</f>
        <v>145.35</v>
      </c>
      <c r="AH10" s="122">
        <f t="shared" ref="AH10:AH21" si="13">+R10+AA10</f>
        <v>0</v>
      </c>
    </row>
    <row r="11" spans="1:34">
      <c r="A11" t="s">
        <v>445</v>
      </c>
      <c r="C11" s="122">
        <f>+'Service Count Data'!$X$52</f>
        <v>31</v>
      </c>
      <c r="D11" s="656">
        <v>9.5</v>
      </c>
      <c r="E11" s="56">
        <f t="shared" si="0"/>
        <v>294.5</v>
      </c>
      <c r="F11" s="122">
        <f>+'Service Count Data'!$AD$52</f>
        <v>0</v>
      </c>
      <c r="G11" s="656">
        <v>9.5</v>
      </c>
      <c r="H11" s="56">
        <f t="shared" si="1"/>
        <v>0</v>
      </c>
      <c r="I11" s="186">
        <f t="shared" ref="I11:I31" si="14">+C11+F11</f>
        <v>31</v>
      </c>
      <c r="J11" s="185">
        <f t="shared" ref="J11:J31" si="15">+E11+H11</f>
        <v>294.5</v>
      </c>
      <c r="L11" s="122">
        <f>+'Service Count Data'!$X$53</f>
        <v>0</v>
      </c>
      <c r="M11" s="657">
        <v>8.75</v>
      </c>
      <c r="N11" s="56">
        <f t="shared" si="2"/>
        <v>0</v>
      </c>
      <c r="O11" s="122">
        <f>+'Service Count Data'!$AD$53</f>
        <v>0</v>
      </c>
      <c r="P11" s="657">
        <v>8.75</v>
      </c>
      <c r="Q11" s="56">
        <f t="shared" si="3"/>
        <v>0</v>
      </c>
      <c r="R11" s="186">
        <f t="shared" si="4"/>
        <v>0</v>
      </c>
      <c r="S11" s="185">
        <f t="shared" si="5"/>
        <v>0</v>
      </c>
      <c r="U11" s="122">
        <f>+'Service Count Data'!$X$54</f>
        <v>0</v>
      </c>
      <c r="V11" s="657">
        <v>8.75</v>
      </c>
      <c r="W11" s="56">
        <f t="shared" si="6"/>
        <v>0</v>
      </c>
      <c r="X11" s="122">
        <f>+'Service Count Data'!$AD$54</f>
        <v>0</v>
      </c>
      <c r="Y11" s="657">
        <v>8.75</v>
      </c>
      <c r="Z11" s="56">
        <f t="shared" si="7"/>
        <v>0</v>
      </c>
      <c r="AA11" s="186">
        <f t="shared" si="8"/>
        <v>0</v>
      </c>
      <c r="AB11" s="185">
        <f t="shared" si="9"/>
        <v>0</v>
      </c>
      <c r="AC11" s="122">
        <f t="shared" si="10"/>
        <v>0</v>
      </c>
      <c r="AD11" s="122">
        <f t="shared" si="11"/>
        <v>31</v>
      </c>
      <c r="AE11" s="6">
        <f t="shared" si="12"/>
        <v>294.5</v>
      </c>
      <c r="AH11" s="122">
        <f t="shared" si="13"/>
        <v>0</v>
      </c>
    </row>
    <row r="12" spans="1:34">
      <c r="A12" t="s">
        <v>444</v>
      </c>
      <c r="C12" s="122">
        <f>+'Service Count Data'!$X$55</f>
        <v>6</v>
      </c>
      <c r="D12" s="656">
        <v>13.85</v>
      </c>
      <c r="E12" s="6">
        <f t="shared" si="0"/>
        <v>83.1</v>
      </c>
      <c r="F12" s="122">
        <f>+'Service Count Data'!$AD$55</f>
        <v>0</v>
      </c>
      <c r="G12" s="656">
        <v>13.85</v>
      </c>
      <c r="H12" s="6">
        <f t="shared" si="1"/>
        <v>0</v>
      </c>
      <c r="I12" s="186">
        <f t="shared" si="14"/>
        <v>6</v>
      </c>
      <c r="J12" s="185">
        <f t="shared" si="15"/>
        <v>83.1</v>
      </c>
      <c r="L12" s="122">
        <f>+'Service Count Data'!$X$56</f>
        <v>0</v>
      </c>
      <c r="M12" s="657">
        <v>12.6</v>
      </c>
      <c r="N12" s="6">
        <f t="shared" si="2"/>
        <v>0</v>
      </c>
      <c r="O12" s="122">
        <f>+'Service Count Data'!$AD$56</f>
        <v>0</v>
      </c>
      <c r="P12" s="657">
        <v>12.6</v>
      </c>
      <c r="Q12" s="6">
        <f t="shared" si="3"/>
        <v>0</v>
      </c>
      <c r="R12" s="186">
        <f t="shared" si="4"/>
        <v>0</v>
      </c>
      <c r="S12" s="185">
        <f t="shared" si="5"/>
        <v>0</v>
      </c>
      <c r="U12" s="122">
        <f>+'Service Count Data'!$X$57</f>
        <v>0</v>
      </c>
      <c r="V12" s="657">
        <v>12.6</v>
      </c>
      <c r="W12" s="6">
        <f t="shared" si="6"/>
        <v>0</v>
      </c>
      <c r="X12" s="122">
        <f>+'Service Count Data'!$AD$57</f>
        <v>0</v>
      </c>
      <c r="Y12" s="657">
        <v>12.6</v>
      </c>
      <c r="Z12" s="6">
        <f t="shared" si="7"/>
        <v>0</v>
      </c>
      <c r="AA12" s="186">
        <f t="shared" si="8"/>
        <v>0</v>
      </c>
      <c r="AB12" s="185">
        <f t="shared" si="9"/>
        <v>0</v>
      </c>
      <c r="AC12" s="122">
        <f t="shared" si="10"/>
        <v>0</v>
      </c>
      <c r="AD12" s="122">
        <f t="shared" si="11"/>
        <v>6</v>
      </c>
      <c r="AE12" s="6">
        <f t="shared" si="12"/>
        <v>83.1</v>
      </c>
      <c r="AH12" s="122">
        <f t="shared" si="13"/>
        <v>0</v>
      </c>
    </row>
    <row r="13" spans="1:34">
      <c r="A13" t="s">
        <v>443</v>
      </c>
      <c r="C13" s="122">
        <f>+'Service Count Data'!$X$58</f>
        <v>2</v>
      </c>
      <c r="D13" s="656">
        <v>18.2</v>
      </c>
      <c r="E13" s="6">
        <f t="shared" si="0"/>
        <v>36.4</v>
      </c>
      <c r="F13" s="122">
        <f>+'Service Count Data'!$AD$58</f>
        <v>0</v>
      </c>
      <c r="G13" s="656">
        <v>18.2</v>
      </c>
      <c r="H13" s="6">
        <f t="shared" si="1"/>
        <v>0</v>
      </c>
      <c r="I13" s="186">
        <f t="shared" si="14"/>
        <v>2</v>
      </c>
      <c r="J13" s="185">
        <f t="shared" si="15"/>
        <v>36.4</v>
      </c>
      <c r="L13" s="122">
        <f>+'Service Count Data'!$X$59</f>
        <v>0</v>
      </c>
      <c r="M13" s="657">
        <v>16.45</v>
      </c>
      <c r="N13" s="6">
        <f t="shared" si="2"/>
        <v>0</v>
      </c>
      <c r="O13" s="122">
        <f>+'Service Count Data'!$AD$59</f>
        <v>0</v>
      </c>
      <c r="P13" s="657">
        <v>16.45</v>
      </c>
      <c r="Q13" s="6">
        <f t="shared" si="3"/>
        <v>0</v>
      </c>
      <c r="R13" s="186">
        <f t="shared" si="4"/>
        <v>0</v>
      </c>
      <c r="S13" s="185">
        <f t="shared" si="5"/>
        <v>0</v>
      </c>
      <c r="U13" s="122">
        <f>+'Service Count Data'!$X$60</f>
        <v>0</v>
      </c>
      <c r="V13" s="657">
        <v>16.45</v>
      </c>
      <c r="W13" s="6">
        <f t="shared" si="6"/>
        <v>0</v>
      </c>
      <c r="X13" s="122">
        <f>+'Service Count Data'!$AD$60</f>
        <v>0</v>
      </c>
      <c r="Y13" s="657">
        <v>16.45</v>
      </c>
      <c r="Z13" s="6">
        <f t="shared" si="7"/>
        <v>0</v>
      </c>
      <c r="AA13" s="186">
        <f t="shared" si="8"/>
        <v>0</v>
      </c>
      <c r="AB13" s="185">
        <f t="shared" si="9"/>
        <v>0</v>
      </c>
      <c r="AC13" s="122">
        <f t="shared" si="10"/>
        <v>0</v>
      </c>
      <c r="AD13" s="122">
        <f t="shared" si="11"/>
        <v>2</v>
      </c>
      <c r="AE13" s="6">
        <f t="shared" si="12"/>
        <v>36.4</v>
      </c>
      <c r="AH13" s="122">
        <f t="shared" si="13"/>
        <v>0</v>
      </c>
    </row>
    <row r="14" spans="1:34">
      <c r="A14" t="s">
        <v>442</v>
      </c>
      <c r="C14" s="122">
        <f>+'Service Count Data'!$X$10</f>
        <v>377.85</v>
      </c>
      <c r="D14" s="656">
        <v>19.850000000000001</v>
      </c>
      <c r="E14" s="6">
        <f t="shared" si="0"/>
        <v>7500.3225000000011</v>
      </c>
      <c r="F14" s="122">
        <f>+'Service Count Data'!$AD$10</f>
        <v>0</v>
      </c>
      <c r="G14" s="656">
        <v>19.850000000000001</v>
      </c>
      <c r="H14" s="6">
        <f t="shared" si="1"/>
        <v>0</v>
      </c>
      <c r="I14" s="186">
        <f t="shared" si="14"/>
        <v>377.85</v>
      </c>
      <c r="J14" s="185">
        <f t="shared" si="15"/>
        <v>7500.3225000000011</v>
      </c>
      <c r="L14" s="122">
        <f>+'Service Count Data'!$X$11</f>
        <v>592.65</v>
      </c>
      <c r="M14" s="657">
        <v>16.350000000000001</v>
      </c>
      <c r="N14" s="6">
        <f t="shared" si="2"/>
        <v>9689.8275000000012</v>
      </c>
      <c r="O14" s="122">
        <f>+'Service Count Data'!$AD$11</f>
        <v>0</v>
      </c>
      <c r="P14" s="657">
        <v>16.350000000000001</v>
      </c>
      <c r="Q14" s="6">
        <f t="shared" si="3"/>
        <v>0</v>
      </c>
      <c r="R14" s="186">
        <f t="shared" si="4"/>
        <v>592.65</v>
      </c>
      <c r="S14" s="185">
        <f t="shared" si="5"/>
        <v>9689.8275000000012</v>
      </c>
      <c r="U14" s="122">
        <f>+'Service Count Data'!$X$12</f>
        <v>560.38036951501158</v>
      </c>
      <c r="V14" s="657">
        <v>16.350000000000001</v>
      </c>
      <c r="W14" s="6">
        <f t="shared" si="6"/>
        <v>9162.2190415704408</v>
      </c>
      <c r="X14" s="122">
        <f>+'Service Count Data'!$AD$12</f>
        <v>0</v>
      </c>
      <c r="Y14" s="657">
        <v>16.350000000000001</v>
      </c>
      <c r="Z14" s="6">
        <f t="shared" si="7"/>
        <v>0</v>
      </c>
      <c r="AA14" s="186">
        <f t="shared" si="8"/>
        <v>560.38036951501158</v>
      </c>
      <c r="AB14" s="185">
        <f t="shared" si="9"/>
        <v>9162.2190415704408</v>
      </c>
      <c r="AC14" s="122">
        <f t="shared" si="10"/>
        <v>1153.0303695150114</v>
      </c>
      <c r="AD14" s="122">
        <f t="shared" si="11"/>
        <v>1530.8803695150116</v>
      </c>
      <c r="AE14" s="6">
        <f t="shared" si="12"/>
        <v>26352.36904157044</v>
      </c>
      <c r="AH14" s="122">
        <f t="shared" si="13"/>
        <v>1153.0303695150114</v>
      </c>
    </row>
    <row r="15" spans="1:34">
      <c r="A15" t="s">
        <v>441</v>
      </c>
      <c r="C15" s="122">
        <f>+'Service Count Data'!$X$13</f>
        <v>235.55</v>
      </c>
      <c r="D15" s="656">
        <v>24.4</v>
      </c>
      <c r="E15" s="6">
        <f t="shared" si="0"/>
        <v>5747.42</v>
      </c>
      <c r="F15" s="122">
        <f>+'Service Count Data'!$AD$13</f>
        <v>0</v>
      </c>
      <c r="G15" s="656">
        <v>24.4</v>
      </c>
      <c r="H15" s="6">
        <f t="shared" si="1"/>
        <v>0</v>
      </c>
      <c r="I15" s="186">
        <f t="shared" si="14"/>
        <v>235.55</v>
      </c>
      <c r="J15" s="185">
        <f t="shared" si="15"/>
        <v>5747.42</v>
      </c>
      <c r="L15" s="122">
        <f>+'Service Count Data'!$X$14</f>
        <v>999.2</v>
      </c>
      <c r="M15" s="657">
        <v>20.55</v>
      </c>
      <c r="N15" s="6">
        <f t="shared" si="2"/>
        <v>20533.560000000001</v>
      </c>
      <c r="O15" s="122">
        <f>+'Service Count Data'!$AD$14</f>
        <v>0</v>
      </c>
      <c r="P15" s="657">
        <v>20.55</v>
      </c>
      <c r="Q15" s="6">
        <f t="shared" si="3"/>
        <v>0</v>
      </c>
      <c r="R15" s="186">
        <f t="shared" si="4"/>
        <v>999.2</v>
      </c>
      <c r="S15" s="185">
        <f t="shared" si="5"/>
        <v>20533.560000000001</v>
      </c>
      <c r="U15" s="122">
        <f>+'Service Count Data'!$X$15</f>
        <v>913.38036951501158</v>
      </c>
      <c r="V15" s="657">
        <v>20.55</v>
      </c>
      <c r="W15" s="6">
        <f t="shared" si="6"/>
        <v>18769.966593533489</v>
      </c>
      <c r="X15" s="122">
        <f>+'Service Count Data'!$AD$15</f>
        <v>0</v>
      </c>
      <c r="Y15" s="657">
        <v>20.55</v>
      </c>
      <c r="Z15" s="6">
        <f t="shared" si="7"/>
        <v>0</v>
      </c>
      <c r="AA15" s="186">
        <f t="shared" si="8"/>
        <v>913.38036951501158</v>
      </c>
      <c r="AB15" s="185">
        <f t="shared" si="9"/>
        <v>18769.966593533489</v>
      </c>
      <c r="AC15" s="122">
        <f t="shared" si="10"/>
        <v>1912.5803695150116</v>
      </c>
      <c r="AD15" s="122">
        <f t="shared" si="11"/>
        <v>2148.1303695150118</v>
      </c>
      <c r="AE15" s="6">
        <f t="shared" si="12"/>
        <v>45050.946593533488</v>
      </c>
      <c r="AH15" s="122">
        <f t="shared" si="13"/>
        <v>1912.5803695150116</v>
      </c>
    </row>
    <row r="16" spans="1:34">
      <c r="A16" t="s">
        <v>440</v>
      </c>
      <c r="C16" s="122">
        <f>+'Service Count Data'!$X$16</f>
        <v>21.25</v>
      </c>
      <c r="D16" s="656">
        <v>30.6</v>
      </c>
      <c r="E16" s="6">
        <f t="shared" si="0"/>
        <v>650.25</v>
      </c>
      <c r="F16" s="122">
        <f>+'Service Count Data'!$AD$16</f>
        <v>0</v>
      </c>
      <c r="G16" s="656">
        <v>30.6</v>
      </c>
      <c r="H16" s="6">
        <f t="shared" si="1"/>
        <v>0</v>
      </c>
      <c r="I16" s="186">
        <f t="shared" si="14"/>
        <v>21.25</v>
      </c>
      <c r="J16" s="185">
        <f t="shared" si="15"/>
        <v>650.25</v>
      </c>
      <c r="L16" s="122">
        <f>+'Service Count Data'!$X$17</f>
        <v>285.2</v>
      </c>
      <c r="M16" s="657">
        <v>24.25</v>
      </c>
      <c r="N16" s="6">
        <f t="shared" si="2"/>
        <v>6916.0999999999995</v>
      </c>
      <c r="O16" s="122">
        <f>+'Service Count Data'!$AD$17</f>
        <v>0</v>
      </c>
      <c r="P16" s="657">
        <v>24.25</v>
      </c>
      <c r="Q16" s="6">
        <f t="shared" si="3"/>
        <v>0</v>
      </c>
      <c r="R16" s="186">
        <f t="shared" si="4"/>
        <v>285.2</v>
      </c>
      <c r="S16" s="185">
        <f t="shared" si="5"/>
        <v>6916.0999999999995</v>
      </c>
      <c r="U16" s="122">
        <f>+'Service Count Data'!$X$18</f>
        <v>129.25461893764435</v>
      </c>
      <c r="V16" s="657">
        <v>24.25</v>
      </c>
      <c r="W16" s="6">
        <f t="shared" si="6"/>
        <v>3134.4245092378756</v>
      </c>
      <c r="X16" s="122">
        <f>+'Service Count Data'!$AD$18</f>
        <v>0</v>
      </c>
      <c r="Y16" s="657">
        <v>24.25</v>
      </c>
      <c r="Z16" s="6">
        <f t="shared" si="7"/>
        <v>0</v>
      </c>
      <c r="AA16" s="186">
        <f t="shared" si="8"/>
        <v>129.25461893764435</v>
      </c>
      <c r="AB16" s="185">
        <f t="shared" si="9"/>
        <v>3134.4245092378756</v>
      </c>
      <c r="AC16" s="122">
        <f t="shared" si="10"/>
        <v>414.45461893764434</v>
      </c>
      <c r="AD16" s="122">
        <f t="shared" si="11"/>
        <v>435.70461893764434</v>
      </c>
      <c r="AE16" s="6">
        <f t="shared" si="12"/>
        <v>10700.774509237875</v>
      </c>
      <c r="AH16" s="122">
        <f t="shared" si="13"/>
        <v>414.45461893764434</v>
      </c>
    </row>
    <row r="17" spans="1:34">
      <c r="A17" t="s">
        <v>439</v>
      </c>
      <c r="C17" s="122">
        <f>+'Service Count Data'!$X$19</f>
        <v>6</v>
      </c>
      <c r="D17" s="656">
        <v>37.25</v>
      </c>
      <c r="E17" s="6">
        <f t="shared" si="0"/>
        <v>223.5</v>
      </c>
      <c r="F17" s="122">
        <f>+'Service Count Data'!$AD$19</f>
        <v>0</v>
      </c>
      <c r="G17" s="656">
        <v>37.25</v>
      </c>
      <c r="H17" s="6">
        <f t="shared" si="1"/>
        <v>0</v>
      </c>
      <c r="I17" s="186">
        <f t="shared" si="14"/>
        <v>6</v>
      </c>
      <c r="J17" s="185">
        <f t="shared" si="15"/>
        <v>223.5</v>
      </c>
      <c r="L17" s="122">
        <f>+'Service Count Data'!$X$20</f>
        <v>116.1</v>
      </c>
      <c r="M17" s="657">
        <v>27.75</v>
      </c>
      <c r="N17" s="6">
        <f t="shared" si="2"/>
        <v>3221.7749999999996</v>
      </c>
      <c r="O17" s="122">
        <f>+'Service Count Data'!$AD$20</f>
        <v>0</v>
      </c>
      <c r="P17" s="657">
        <v>27.75</v>
      </c>
      <c r="Q17" s="6">
        <f t="shared" si="3"/>
        <v>0</v>
      </c>
      <c r="R17" s="186">
        <f t="shared" si="4"/>
        <v>116.1</v>
      </c>
      <c r="S17" s="185">
        <f t="shared" si="5"/>
        <v>3221.7749999999996</v>
      </c>
      <c r="U17" s="122">
        <f>+'Service Count Data'!$X$21</f>
        <v>58.009237875288683</v>
      </c>
      <c r="V17" s="657">
        <v>27.75</v>
      </c>
      <c r="W17" s="6">
        <f t="shared" si="6"/>
        <v>1609.7563510392611</v>
      </c>
      <c r="X17" s="122">
        <f>+'Service Count Data'!$AD$21</f>
        <v>0</v>
      </c>
      <c r="Y17" s="657">
        <v>27.75</v>
      </c>
      <c r="Z17" s="6">
        <f t="shared" si="7"/>
        <v>0</v>
      </c>
      <c r="AA17" s="186">
        <f t="shared" si="8"/>
        <v>58.009237875288683</v>
      </c>
      <c r="AB17" s="185">
        <f t="shared" si="9"/>
        <v>1609.7563510392611</v>
      </c>
      <c r="AC17" s="122">
        <f t="shared" si="10"/>
        <v>174.10923787528867</v>
      </c>
      <c r="AD17" s="122">
        <f t="shared" si="11"/>
        <v>180.10923787528867</v>
      </c>
      <c r="AE17" s="6">
        <f t="shared" si="12"/>
        <v>5055.0313510392607</v>
      </c>
      <c r="AH17" s="122">
        <f t="shared" si="13"/>
        <v>174.10923787528867</v>
      </c>
    </row>
    <row r="18" spans="1:34">
      <c r="A18" t="s">
        <v>438</v>
      </c>
      <c r="C18" s="122">
        <f>+'Service Count Data'!$X$22</f>
        <v>0</v>
      </c>
      <c r="D18" s="656">
        <v>42.45</v>
      </c>
      <c r="E18" s="6">
        <f t="shared" si="0"/>
        <v>0</v>
      </c>
      <c r="F18" s="122">
        <f>+'Service Count Data'!$AD$22</f>
        <v>0</v>
      </c>
      <c r="G18" s="656">
        <v>42.45</v>
      </c>
      <c r="H18" s="6">
        <f t="shared" si="1"/>
        <v>0</v>
      </c>
      <c r="I18" s="186">
        <f t="shared" si="14"/>
        <v>0</v>
      </c>
      <c r="J18" s="185">
        <f t="shared" si="15"/>
        <v>0</v>
      </c>
      <c r="L18" s="122">
        <f>+'Service Count Data'!$X$23</f>
        <v>32.75</v>
      </c>
      <c r="M18" s="657">
        <v>33.25</v>
      </c>
      <c r="N18" s="6">
        <f t="shared" si="2"/>
        <v>1088.9375</v>
      </c>
      <c r="O18" s="122">
        <f>+'Service Count Data'!$AD$23</f>
        <v>0</v>
      </c>
      <c r="P18" s="657">
        <v>33.25</v>
      </c>
      <c r="Q18" s="6">
        <f t="shared" si="3"/>
        <v>0</v>
      </c>
      <c r="R18" s="186">
        <f t="shared" si="4"/>
        <v>32.75</v>
      </c>
      <c r="S18" s="185">
        <f t="shared" si="5"/>
        <v>1088.9375</v>
      </c>
      <c r="U18" s="122">
        <f>+'Service Count Data'!$X$24</f>
        <v>12.009237875288683</v>
      </c>
      <c r="V18" s="657">
        <v>33.25</v>
      </c>
      <c r="W18" s="6">
        <f t="shared" si="6"/>
        <v>399.30715935334871</v>
      </c>
      <c r="X18" s="122">
        <f>+'Service Count Data'!$AD$24</f>
        <v>0</v>
      </c>
      <c r="Y18" s="657">
        <v>33.25</v>
      </c>
      <c r="Z18" s="6">
        <f t="shared" si="7"/>
        <v>0</v>
      </c>
      <c r="AA18" s="186">
        <f t="shared" si="8"/>
        <v>12.009237875288683</v>
      </c>
      <c r="AB18" s="185">
        <f t="shared" si="9"/>
        <v>399.30715935334871</v>
      </c>
      <c r="AC18" s="122">
        <f t="shared" si="10"/>
        <v>44.759237875288683</v>
      </c>
      <c r="AD18" s="122">
        <f t="shared" si="11"/>
        <v>44.759237875288683</v>
      </c>
      <c r="AE18" s="6">
        <f t="shared" si="12"/>
        <v>1488.2446593533487</v>
      </c>
      <c r="AH18" s="122">
        <f t="shared" si="13"/>
        <v>44.759237875288683</v>
      </c>
    </row>
    <row r="19" spans="1:34">
      <c r="A19" t="s">
        <v>437</v>
      </c>
      <c r="C19" s="122">
        <f>+'Service Count Data'!$X$25</f>
        <v>13.2</v>
      </c>
      <c r="D19" s="656">
        <v>49</v>
      </c>
      <c r="E19" s="6">
        <f t="shared" si="0"/>
        <v>646.79999999999995</v>
      </c>
      <c r="F19" s="122">
        <f>+'Service Count Data'!$AD$25</f>
        <v>0</v>
      </c>
      <c r="G19" s="656">
        <v>49</v>
      </c>
      <c r="H19" s="6">
        <f t="shared" si="1"/>
        <v>0</v>
      </c>
      <c r="I19" s="186">
        <f t="shared" si="14"/>
        <v>13.2</v>
      </c>
      <c r="J19" s="185">
        <f t="shared" si="15"/>
        <v>646.79999999999995</v>
      </c>
      <c r="L19" s="122">
        <f>+'Service Count Data'!$X$26</f>
        <v>44.25</v>
      </c>
      <c r="M19" s="657">
        <v>36.85</v>
      </c>
      <c r="N19" s="6">
        <f t="shared" si="2"/>
        <v>1630.6125</v>
      </c>
      <c r="O19" s="122">
        <f>+'Service Count Data'!$AD$26</f>
        <v>0</v>
      </c>
      <c r="P19" s="657">
        <v>36.85</v>
      </c>
      <c r="Q19" s="6">
        <f t="shared" si="3"/>
        <v>0</v>
      </c>
      <c r="R19" s="186">
        <f t="shared" si="4"/>
        <v>44.25</v>
      </c>
      <c r="S19" s="185">
        <f t="shared" si="5"/>
        <v>1630.6125</v>
      </c>
      <c r="U19" s="122">
        <f>+'Service Count Data'!$X$27</f>
        <v>0</v>
      </c>
      <c r="V19" s="657">
        <v>36.85</v>
      </c>
      <c r="W19" s="6">
        <f t="shared" si="6"/>
        <v>0</v>
      </c>
      <c r="X19" s="122">
        <f>+'Service Count Data'!$AD$27</f>
        <v>0</v>
      </c>
      <c r="Y19" s="657">
        <v>36.85</v>
      </c>
      <c r="Z19" s="6">
        <f t="shared" si="7"/>
        <v>0</v>
      </c>
      <c r="AA19" s="186">
        <f t="shared" si="8"/>
        <v>0</v>
      </c>
      <c r="AB19" s="185">
        <f t="shared" si="9"/>
        <v>0</v>
      </c>
      <c r="AC19" s="122">
        <f t="shared" si="10"/>
        <v>44.25</v>
      </c>
      <c r="AD19" s="122">
        <f t="shared" si="11"/>
        <v>57.45</v>
      </c>
      <c r="AE19" s="6">
        <f t="shared" si="12"/>
        <v>2277.4124999999999</v>
      </c>
      <c r="AH19" s="122">
        <f t="shared" si="13"/>
        <v>44.25</v>
      </c>
    </row>
    <row r="20" spans="1:34">
      <c r="A20" s="83" t="s">
        <v>436</v>
      </c>
      <c r="C20" s="122">
        <f>+'Service Count Data'!$X$28</f>
        <v>55.2</v>
      </c>
      <c r="D20" s="656">
        <v>13.15</v>
      </c>
      <c r="E20" s="6">
        <f t="shared" si="0"/>
        <v>725.88000000000011</v>
      </c>
      <c r="F20" s="122">
        <f>+'Service Count Data'!$AD$28</f>
        <v>0</v>
      </c>
      <c r="G20" s="656">
        <v>13.15</v>
      </c>
      <c r="H20" s="6">
        <f t="shared" si="1"/>
        <v>0</v>
      </c>
      <c r="I20" s="186">
        <f t="shared" si="14"/>
        <v>55.2</v>
      </c>
      <c r="J20" s="185">
        <f t="shared" si="15"/>
        <v>725.88000000000011</v>
      </c>
      <c r="L20" s="122">
        <f>+'Service Count Data'!$X$29</f>
        <v>0</v>
      </c>
      <c r="M20" s="657">
        <v>0</v>
      </c>
      <c r="N20" s="6">
        <f t="shared" si="2"/>
        <v>0</v>
      </c>
      <c r="O20" s="122">
        <f>+'Service Count Data'!$AD$29</f>
        <v>0</v>
      </c>
      <c r="P20" s="657">
        <v>0</v>
      </c>
      <c r="Q20" s="6">
        <f t="shared" si="3"/>
        <v>0</v>
      </c>
      <c r="R20" s="186">
        <f t="shared" si="4"/>
        <v>0</v>
      </c>
      <c r="S20" s="185">
        <f t="shared" si="5"/>
        <v>0</v>
      </c>
      <c r="U20" s="122">
        <f>+'Service Count Data'!$X$30</f>
        <v>0</v>
      </c>
      <c r="V20" s="657">
        <v>0</v>
      </c>
      <c r="W20" s="6">
        <f t="shared" si="6"/>
        <v>0</v>
      </c>
      <c r="X20" s="122">
        <f>+'Service Count Data'!$AD$30</f>
        <v>0</v>
      </c>
      <c r="Y20" s="657">
        <v>0</v>
      </c>
      <c r="Z20" s="6">
        <f t="shared" si="7"/>
        <v>0</v>
      </c>
      <c r="AA20" s="186">
        <f t="shared" si="8"/>
        <v>0</v>
      </c>
      <c r="AB20" s="185">
        <f t="shared" si="9"/>
        <v>0</v>
      </c>
      <c r="AC20" s="122">
        <f t="shared" si="10"/>
        <v>0</v>
      </c>
      <c r="AD20" s="122">
        <f t="shared" si="11"/>
        <v>55.2</v>
      </c>
      <c r="AE20" s="6">
        <f t="shared" si="12"/>
        <v>725.88000000000011</v>
      </c>
      <c r="AH20" s="122">
        <f t="shared" si="13"/>
        <v>0</v>
      </c>
    </row>
    <row r="21" spans="1:34">
      <c r="A21" s="83" t="s">
        <v>435</v>
      </c>
      <c r="C21" s="122">
        <f>+'Service Count Data'!$X$31</f>
        <v>6351.45</v>
      </c>
      <c r="D21" s="656">
        <v>19.850000000000001</v>
      </c>
      <c r="E21" s="6">
        <f t="shared" si="0"/>
        <v>126076.2825</v>
      </c>
      <c r="F21" s="122">
        <f>+'Service Count Data'!$AD$31</f>
        <v>0</v>
      </c>
      <c r="G21" s="656">
        <v>19.850000000000001</v>
      </c>
      <c r="H21" s="6">
        <f t="shared" si="1"/>
        <v>0</v>
      </c>
      <c r="I21" s="186">
        <f t="shared" si="14"/>
        <v>6351.45</v>
      </c>
      <c r="J21" s="185">
        <f t="shared" si="15"/>
        <v>126076.2825</v>
      </c>
      <c r="L21" s="122">
        <f>+'Service Count Data'!$X$32</f>
        <v>0</v>
      </c>
      <c r="M21" s="657">
        <v>0</v>
      </c>
      <c r="N21" s="6">
        <f t="shared" si="2"/>
        <v>0</v>
      </c>
      <c r="O21" s="122">
        <f>+'Service Count Data'!$AD$32</f>
        <v>0</v>
      </c>
      <c r="P21" s="657">
        <v>0</v>
      </c>
      <c r="Q21" s="6">
        <f t="shared" si="3"/>
        <v>0</v>
      </c>
      <c r="R21" s="186">
        <f t="shared" si="4"/>
        <v>0</v>
      </c>
      <c r="S21" s="185">
        <f t="shared" si="5"/>
        <v>0</v>
      </c>
      <c r="U21" s="122">
        <f>+'Service Count Data'!$X$33</f>
        <v>0</v>
      </c>
      <c r="V21" s="657">
        <v>0</v>
      </c>
      <c r="W21" s="6">
        <f t="shared" si="6"/>
        <v>0</v>
      </c>
      <c r="X21" s="122">
        <f>+'Service Count Data'!$AD$33</f>
        <v>0</v>
      </c>
      <c r="Y21" s="657">
        <v>0</v>
      </c>
      <c r="Z21" s="6">
        <f t="shared" si="7"/>
        <v>0</v>
      </c>
      <c r="AA21" s="186">
        <f t="shared" si="8"/>
        <v>0</v>
      </c>
      <c r="AB21" s="185">
        <f t="shared" si="9"/>
        <v>0</v>
      </c>
      <c r="AC21" s="122">
        <f t="shared" si="10"/>
        <v>0</v>
      </c>
      <c r="AD21" s="122">
        <f t="shared" si="11"/>
        <v>6351.45</v>
      </c>
      <c r="AE21" s="6">
        <f t="shared" si="12"/>
        <v>126076.2825</v>
      </c>
      <c r="AH21" s="122">
        <f t="shared" si="13"/>
        <v>0</v>
      </c>
    </row>
    <row r="22" spans="1:34">
      <c r="A22" t="s">
        <v>434</v>
      </c>
      <c r="C22" s="122">
        <f>+'Service Count Data'!$X$34</f>
        <v>33</v>
      </c>
      <c r="D22" s="656">
        <v>14.25</v>
      </c>
      <c r="E22" s="6">
        <f t="shared" si="0"/>
        <v>470.25</v>
      </c>
      <c r="F22" s="122">
        <f>+'Service Count Data'!$AD$34</f>
        <v>0</v>
      </c>
      <c r="G22" s="656">
        <v>14.25</v>
      </c>
      <c r="H22" s="6">
        <f t="shared" si="1"/>
        <v>0</v>
      </c>
      <c r="I22" s="186">
        <f t="shared" si="14"/>
        <v>33</v>
      </c>
      <c r="J22" s="185">
        <f t="shared" si="15"/>
        <v>470.25</v>
      </c>
      <c r="L22" s="122">
        <f>+'Service Count Data'!$X$35</f>
        <v>0</v>
      </c>
      <c r="M22" s="657">
        <v>0</v>
      </c>
      <c r="N22" s="6">
        <f t="shared" si="2"/>
        <v>0</v>
      </c>
      <c r="O22" s="122">
        <f>+'Service Count Data'!$AD$35</f>
        <v>0</v>
      </c>
      <c r="P22" s="657">
        <v>0</v>
      </c>
      <c r="Q22" s="6">
        <f t="shared" si="3"/>
        <v>0</v>
      </c>
      <c r="R22" s="186">
        <f t="shared" si="4"/>
        <v>0</v>
      </c>
      <c r="S22" s="185">
        <f t="shared" si="5"/>
        <v>0</v>
      </c>
      <c r="U22" s="122">
        <f>+'Service Count Data'!$X$36</f>
        <v>0</v>
      </c>
      <c r="V22" s="657">
        <v>0</v>
      </c>
      <c r="W22" s="6">
        <f t="shared" si="6"/>
        <v>0</v>
      </c>
      <c r="X22" s="122">
        <f>+'Service Count Data'!$AD$36</f>
        <v>0</v>
      </c>
      <c r="Y22" s="657">
        <v>0</v>
      </c>
      <c r="Z22" s="6">
        <f t="shared" si="7"/>
        <v>0</v>
      </c>
      <c r="AA22" s="186">
        <f t="shared" si="8"/>
        <v>0</v>
      </c>
      <c r="AB22" s="185">
        <f t="shared" si="9"/>
        <v>0</v>
      </c>
      <c r="AC22" s="122">
        <f t="shared" si="10"/>
        <v>0</v>
      </c>
      <c r="AD22" s="122">
        <f t="shared" si="11"/>
        <v>33</v>
      </c>
      <c r="AE22" s="6">
        <f t="shared" si="12"/>
        <v>470.25</v>
      </c>
      <c r="AH22" s="122">
        <f t="shared" ref="AH22:AH31" si="16">+R22+AA22</f>
        <v>0</v>
      </c>
    </row>
    <row r="23" spans="1:34">
      <c r="A23" t="s">
        <v>433</v>
      </c>
      <c r="C23" s="122">
        <f>+'Service Count Data'!$X$37</f>
        <v>10987.949999999999</v>
      </c>
      <c r="D23" s="656">
        <v>24.4</v>
      </c>
      <c r="E23" s="6">
        <f t="shared" si="0"/>
        <v>268105.98</v>
      </c>
      <c r="F23" s="122">
        <f>+'Service Count Data'!$AD$37</f>
        <v>0</v>
      </c>
      <c r="G23" s="656">
        <v>24.4</v>
      </c>
      <c r="H23" s="6">
        <f t="shared" si="1"/>
        <v>0</v>
      </c>
      <c r="I23" s="186">
        <f t="shared" si="14"/>
        <v>10987.949999999999</v>
      </c>
      <c r="J23" s="185">
        <f t="shared" si="15"/>
        <v>268105.98</v>
      </c>
      <c r="L23" s="122">
        <f>+'Service Count Data'!$X$38</f>
        <v>0</v>
      </c>
      <c r="M23" s="657">
        <v>0</v>
      </c>
      <c r="N23" s="6">
        <f t="shared" si="2"/>
        <v>0</v>
      </c>
      <c r="O23" s="122">
        <f>+'Service Count Data'!$AD$38</f>
        <v>0</v>
      </c>
      <c r="P23" s="657">
        <v>0</v>
      </c>
      <c r="Q23" s="6">
        <f t="shared" si="3"/>
        <v>0</v>
      </c>
      <c r="R23" s="186">
        <f t="shared" si="4"/>
        <v>0</v>
      </c>
      <c r="S23" s="185">
        <f t="shared" si="5"/>
        <v>0</v>
      </c>
      <c r="U23" s="122">
        <f>+'Service Count Data'!$X$39</f>
        <v>0</v>
      </c>
      <c r="V23" s="657">
        <v>0</v>
      </c>
      <c r="W23" s="6">
        <f t="shared" si="6"/>
        <v>0</v>
      </c>
      <c r="X23" s="122">
        <f>+'Service Count Data'!$AD$39</f>
        <v>0</v>
      </c>
      <c r="Y23" s="657">
        <v>0</v>
      </c>
      <c r="Z23" s="6">
        <f t="shared" si="7"/>
        <v>0</v>
      </c>
      <c r="AA23" s="186">
        <f t="shared" si="8"/>
        <v>0</v>
      </c>
      <c r="AB23" s="185">
        <f t="shared" si="9"/>
        <v>0</v>
      </c>
      <c r="AC23" s="122">
        <f t="shared" si="10"/>
        <v>0</v>
      </c>
      <c r="AD23" s="122">
        <f t="shared" si="11"/>
        <v>10987.949999999999</v>
      </c>
      <c r="AE23" s="6">
        <f t="shared" si="12"/>
        <v>268105.98</v>
      </c>
      <c r="AH23" s="122">
        <f t="shared" si="16"/>
        <v>0</v>
      </c>
    </row>
    <row r="24" spans="1:34">
      <c r="A24" t="s">
        <v>432</v>
      </c>
      <c r="C24" s="122">
        <f>+'Service Count Data'!$X$43</f>
        <v>11644.5</v>
      </c>
      <c r="D24" s="656">
        <v>30.6</v>
      </c>
      <c r="E24" s="6">
        <f t="shared" si="0"/>
        <v>356321.7</v>
      </c>
      <c r="F24" s="122">
        <f>+'Service Count Data'!$AD$43</f>
        <v>0</v>
      </c>
      <c r="G24" s="656">
        <v>30.6</v>
      </c>
      <c r="H24" s="6">
        <f t="shared" si="1"/>
        <v>0</v>
      </c>
      <c r="I24" s="186">
        <f t="shared" si="14"/>
        <v>11644.5</v>
      </c>
      <c r="J24" s="185">
        <f t="shared" si="15"/>
        <v>356321.7</v>
      </c>
      <c r="L24" s="122">
        <f>+'Service Count Data'!$X$44</f>
        <v>0</v>
      </c>
      <c r="M24" s="657">
        <v>0</v>
      </c>
      <c r="N24" s="6">
        <f t="shared" si="2"/>
        <v>0</v>
      </c>
      <c r="O24" s="122">
        <f>+'Service Count Data'!$AD$44</f>
        <v>0</v>
      </c>
      <c r="P24" s="657">
        <v>0</v>
      </c>
      <c r="Q24" s="6">
        <f t="shared" si="3"/>
        <v>0</v>
      </c>
      <c r="R24" s="186">
        <f t="shared" si="4"/>
        <v>0</v>
      </c>
      <c r="S24" s="185">
        <f t="shared" si="5"/>
        <v>0</v>
      </c>
      <c r="U24" s="122">
        <f>+'Service Count Data'!$X$45</f>
        <v>0</v>
      </c>
      <c r="V24" s="657">
        <v>0</v>
      </c>
      <c r="W24" s="6">
        <f t="shared" si="6"/>
        <v>0</v>
      </c>
      <c r="X24" s="122">
        <f>+'Service Count Data'!$AD$45</f>
        <v>0</v>
      </c>
      <c r="Y24" s="657">
        <v>0</v>
      </c>
      <c r="Z24" s="6">
        <f t="shared" si="7"/>
        <v>0</v>
      </c>
      <c r="AA24" s="186">
        <f t="shared" si="8"/>
        <v>0</v>
      </c>
      <c r="AB24" s="185">
        <f t="shared" si="9"/>
        <v>0</v>
      </c>
      <c r="AC24" s="122">
        <f t="shared" si="10"/>
        <v>0</v>
      </c>
      <c r="AD24" s="122">
        <f t="shared" si="11"/>
        <v>11644.5</v>
      </c>
      <c r="AE24" s="6">
        <f t="shared" si="12"/>
        <v>356321.7</v>
      </c>
      <c r="AH24" s="122">
        <f t="shared" si="16"/>
        <v>0</v>
      </c>
    </row>
    <row r="25" spans="1:34">
      <c r="A25" s="83" t="s">
        <v>1288</v>
      </c>
      <c r="C25" s="122">
        <f>+'Service Count Data'!$X$193</f>
        <v>475</v>
      </c>
      <c r="D25" s="656">
        <v>15</v>
      </c>
      <c r="E25" s="6">
        <f t="shared" ref="E25" si="17">+C25*D25</f>
        <v>7125</v>
      </c>
      <c r="F25" s="122">
        <f>+'Service Count Data'!$AD$193</f>
        <v>0</v>
      </c>
      <c r="G25" s="656">
        <v>15</v>
      </c>
      <c r="H25" s="6">
        <f t="shared" ref="H25" si="18">+F25*G25</f>
        <v>0</v>
      </c>
      <c r="I25" s="186">
        <f t="shared" ref="I25" si="19">+C25+F25</f>
        <v>475</v>
      </c>
      <c r="J25" s="185">
        <f t="shared" ref="J25" si="20">+E25+H25</f>
        <v>7125</v>
      </c>
      <c r="L25" s="122">
        <f>+'Service Count Data'!$X$194</f>
        <v>0</v>
      </c>
      <c r="M25" s="657">
        <v>0</v>
      </c>
      <c r="N25" s="6">
        <f t="shared" ref="N25" si="21">+L25*M25</f>
        <v>0</v>
      </c>
      <c r="O25" s="122">
        <f>+'Service Count Data'!$AD$194</f>
        <v>0</v>
      </c>
      <c r="P25" s="657">
        <v>0</v>
      </c>
      <c r="Q25" s="6">
        <f t="shared" ref="Q25" si="22">+O25*P25</f>
        <v>0</v>
      </c>
      <c r="R25" s="186">
        <f t="shared" ref="R25" si="23">+L25+O25</f>
        <v>0</v>
      </c>
      <c r="S25" s="185">
        <f t="shared" ref="S25" si="24">+N25+Q25</f>
        <v>0</v>
      </c>
      <c r="U25" s="122">
        <f>+'Service Count Data'!$X$195</f>
        <v>0</v>
      </c>
      <c r="V25" s="657">
        <v>0</v>
      </c>
      <c r="W25" s="6">
        <f t="shared" ref="W25" si="25">+U25*V25</f>
        <v>0</v>
      </c>
      <c r="X25" s="122">
        <f>+'Service Count Data'!$AD$195</f>
        <v>0</v>
      </c>
      <c r="Y25" s="657">
        <v>0</v>
      </c>
      <c r="Z25" s="6">
        <f t="shared" ref="Z25" si="26">+X25*Y25</f>
        <v>0</v>
      </c>
      <c r="AA25" s="186">
        <f t="shared" ref="AA25" si="27">+U25+X25</f>
        <v>0</v>
      </c>
      <c r="AB25" s="185">
        <f t="shared" ref="AB25" si="28">+W25+Z25</f>
        <v>0</v>
      </c>
      <c r="AC25" s="122">
        <f t="shared" ref="AC25" si="29">+R25+AA25</f>
        <v>0</v>
      </c>
      <c r="AD25" s="122">
        <f t="shared" ref="AD25" si="30">+I25+R25+AA25</f>
        <v>475</v>
      </c>
      <c r="AE25" s="6">
        <f t="shared" ref="AE25" si="31">+J25+S25+AB25</f>
        <v>7125</v>
      </c>
      <c r="AH25" s="122">
        <f t="shared" ref="AH25" si="32">+R25+AA25</f>
        <v>0</v>
      </c>
    </row>
    <row r="26" spans="1:34">
      <c r="A26" t="s">
        <v>431</v>
      </c>
      <c r="C26" s="122">
        <f>+'Service Count Data'!$X$82</f>
        <v>1802</v>
      </c>
      <c r="D26" s="656">
        <v>4.3499999999999996</v>
      </c>
      <c r="E26" s="6">
        <f t="shared" si="0"/>
        <v>7838.6999999999989</v>
      </c>
      <c r="F26" s="122">
        <f>+'Service Count Data'!$AD$82</f>
        <v>0</v>
      </c>
      <c r="G26" s="656">
        <v>4.3499999999999996</v>
      </c>
      <c r="H26" s="6">
        <f t="shared" si="1"/>
        <v>0</v>
      </c>
      <c r="I26" s="186">
        <f t="shared" si="14"/>
        <v>1802</v>
      </c>
      <c r="J26" s="185">
        <f t="shared" si="15"/>
        <v>7838.6999999999989</v>
      </c>
      <c r="L26" s="122">
        <f>+'Service Count Data'!$X$83</f>
        <v>159</v>
      </c>
      <c r="M26" s="657">
        <v>3.95</v>
      </c>
      <c r="N26" s="6">
        <f t="shared" si="2"/>
        <v>628.05000000000007</v>
      </c>
      <c r="O26" s="122">
        <f>+'Service Count Data'!$AD$83</f>
        <v>0</v>
      </c>
      <c r="P26" s="657">
        <v>3.95</v>
      </c>
      <c r="Q26" s="6">
        <f t="shared" si="3"/>
        <v>0</v>
      </c>
      <c r="R26" s="186">
        <f t="shared" si="4"/>
        <v>159</v>
      </c>
      <c r="S26" s="185">
        <f t="shared" si="5"/>
        <v>628.05000000000007</v>
      </c>
      <c r="U26" s="122">
        <f>+'Service Count Data'!$X$84</f>
        <v>217</v>
      </c>
      <c r="V26" s="657">
        <v>3.95</v>
      </c>
      <c r="W26" s="6">
        <f t="shared" si="6"/>
        <v>857.15000000000009</v>
      </c>
      <c r="X26" s="122">
        <f>+'Service Count Data'!$AD$84</f>
        <v>0</v>
      </c>
      <c r="Y26" s="657">
        <v>3.95</v>
      </c>
      <c r="Z26" s="6">
        <f t="shared" si="7"/>
        <v>0</v>
      </c>
      <c r="AA26" s="186">
        <f t="shared" si="8"/>
        <v>217</v>
      </c>
      <c r="AB26" s="185">
        <f t="shared" si="9"/>
        <v>857.15000000000009</v>
      </c>
      <c r="AC26" s="122">
        <f t="shared" si="10"/>
        <v>376</v>
      </c>
      <c r="AD26" s="122">
        <f t="shared" si="11"/>
        <v>2178</v>
      </c>
      <c r="AE26" s="6">
        <f t="shared" si="12"/>
        <v>9323.8999999999978</v>
      </c>
      <c r="AH26" s="122">
        <f t="shared" si="16"/>
        <v>376</v>
      </c>
    </row>
    <row r="27" spans="1:34">
      <c r="A27" t="s">
        <v>430</v>
      </c>
      <c r="C27" s="122">
        <f>+'Service Count Data'!$X$91</f>
        <v>0</v>
      </c>
      <c r="D27" s="656">
        <v>3.25</v>
      </c>
      <c r="E27" s="6">
        <f t="shared" si="0"/>
        <v>0</v>
      </c>
      <c r="F27" s="122">
        <f>+'Service Count Data'!$AD$91</f>
        <v>0</v>
      </c>
      <c r="G27" s="656">
        <v>3.25</v>
      </c>
      <c r="H27" s="6">
        <f t="shared" si="1"/>
        <v>0</v>
      </c>
      <c r="I27" s="186">
        <f t="shared" si="14"/>
        <v>0</v>
      </c>
      <c r="J27" s="185">
        <f t="shared" si="15"/>
        <v>0</v>
      </c>
      <c r="L27" s="122">
        <f>+'Service Count Data'!$X$92</f>
        <v>0</v>
      </c>
      <c r="M27" s="657">
        <v>2.95</v>
      </c>
      <c r="N27" s="6">
        <f t="shared" si="2"/>
        <v>0</v>
      </c>
      <c r="O27" s="122">
        <f>+'Service Count Data'!$AD$92</f>
        <v>0</v>
      </c>
      <c r="P27" s="657">
        <v>2.95</v>
      </c>
      <c r="Q27" s="6">
        <f t="shared" si="3"/>
        <v>0</v>
      </c>
      <c r="R27" s="186">
        <f t="shared" si="4"/>
        <v>0</v>
      </c>
      <c r="S27" s="185">
        <f t="shared" si="5"/>
        <v>0</v>
      </c>
      <c r="U27" s="122">
        <f>+'Service Count Data'!$X$93</f>
        <v>0</v>
      </c>
      <c r="V27" s="657">
        <v>2.95</v>
      </c>
      <c r="W27" s="6">
        <f t="shared" si="6"/>
        <v>0</v>
      </c>
      <c r="X27" s="122">
        <f>+'Service Count Data'!$AD$93</f>
        <v>0</v>
      </c>
      <c r="Y27" s="657">
        <v>2.95</v>
      </c>
      <c r="Z27" s="6">
        <f t="shared" si="7"/>
        <v>0</v>
      </c>
      <c r="AA27" s="186">
        <f t="shared" si="8"/>
        <v>0</v>
      </c>
      <c r="AB27" s="185">
        <f t="shared" si="9"/>
        <v>0</v>
      </c>
      <c r="AC27" s="122">
        <f t="shared" si="10"/>
        <v>0</v>
      </c>
      <c r="AD27" s="122">
        <f t="shared" si="11"/>
        <v>0</v>
      </c>
      <c r="AE27" s="6">
        <f t="shared" si="12"/>
        <v>0</v>
      </c>
      <c r="AH27" s="122">
        <f t="shared" si="16"/>
        <v>0</v>
      </c>
    </row>
    <row r="28" spans="1:34">
      <c r="A28" t="s">
        <v>528</v>
      </c>
      <c r="C28" s="122">
        <f>+'Service Count Data'!$Y$91</f>
        <v>0</v>
      </c>
      <c r="D28" s="656">
        <v>1.95</v>
      </c>
      <c r="E28" s="6">
        <f t="shared" si="0"/>
        <v>0</v>
      </c>
      <c r="F28" s="122">
        <f>+'Service Count Data'!$AE$91</f>
        <v>0</v>
      </c>
      <c r="G28" s="656">
        <v>1.95</v>
      </c>
      <c r="H28" s="6">
        <f t="shared" si="1"/>
        <v>0</v>
      </c>
      <c r="I28" s="186">
        <f t="shared" si="14"/>
        <v>0</v>
      </c>
      <c r="J28" s="185">
        <f t="shared" si="15"/>
        <v>0</v>
      </c>
      <c r="L28" s="122">
        <f>+'Service Count Data'!$Y$92</f>
        <v>0</v>
      </c>
      <c r="M28" s="657">
        <v>1.65</v>
      </c>
      <c r="N28" s="6">
        <f t="shared" si="2"/>
        <v>0</v>
      </c>
      <c r="O28" s="122">
        <f>+'Service Count Data'!$AE$92</f>
        <v>0</v>
      </c>
      <c r="P28" s="657">
        <v>1.65</v>
      </c>
      <c r="Q28" s="6">
        <f t="shared" si="3"/>
        <v>0</v>
      </c>
      <c r="R28" s="186">
        <f t="shared" si="4"/>
        <v>0</v>
      </c>
      <c r="S28" s="185">
        <f t="shared" si="5"/>
        <v>0</v>
      </c>
      <c r="U28" s="122">
        <f>+'Service Count Data'!$Y$93</f>
        <v>0</v>
      </c>
      <c r="V28" s="657">
        <v>1.65</v>
      </c>
      <c r="W28" s="6">
        <f t="shared" si="6"/>
        <v>0</v>
      </c>
      <c r="X28" s="122">
        <f>+'Service Count Data'!$Y$93</f>
        <v>0</v>
      </c>
      <c r="Y28" s="657">
        <v>1.65</v>
      </c>
      <c r="Z28" s="6">
        <f t="shared" si="7"/>
        <v>0</v>
      </c>
      <c r="AA28" s="186">
        <f t="shared" si="8"/>
        <v>0</v>
      </c>
      <c r="AB28" s="185">
        <f t="shared" si="9"/>
        <v>0</v>
      </c>
      <c r="AC28" s="122">
        <f t="shared" si="10"/>
        <v>0</v>
      </c>
      <c r="AD28" s="122">
        <f t="shared" si="11"/>
        <v>0</v>
      </c>
      <c r="AE28" s="6">
        <f t="shared" si="12"/>
        <v>0</v>
      </c>
      <c r="AH28" s="122">
        <f t="shared" si="16"/>
        <v>0</v>
      </c>
    </row>
    <row r="29" spans="1:34">
      <c r="A29" t="s">
        <v>428</v>
      </c>
      <c r="C29" s="122">
        <f>+'Service Count Data'!$X$151</f>
        <v>104.5</v>
      </c>
      <c r="D29" s="656">
        <v>13.9</v>
      </c>
      <c r="E29" s="6">
        <f t="shared" si="0"/>
        <v>1452.55</v>
      </c>
      <c r="F29" s="122">
        <f>+'Service Count Data'!$AD$151</f>
        <v>0</v>
      </c>
      <c r="G29" s="656">
        <v>13.9</v>
      </c>
      <c r="H29" s="6">
        <f t="shared" si="1"/>
        <v>0</v>
      </c>
      <c r="I29" s="186">
        <f t="shared" si="14"/>
        <v>104.5</v>
      </c>
      <c r="J29" s="185">
        <f t="shared" si="15"/>
        <v>1452.55</v>
      </c>
      <c r="L29" s="122">
        <f>+'Service Count Data'!$X$152</f>
        <v>6.25</v>
      </c>
      <c r="M29" s="657">
        <v>10.55</v>
      </c>
      <c r="N29" s="6">
        <f t="shared" si="2"/>
        <v>65.9375</v>
      </c>
      <c r="O29" s="122">
        <f>+'Service Count Data'!$AD$152</f>
        <v>0</v>
      </c>
      <c r="P29" s="657">
        <v>10.55</v>
      </c>
      <c r="Q29" s="6">
        <f t="shared" si="3"/>
        <v>0</v>
      </c>
      <c r="R29" s="186">
        <f t="shared" si="4"/>
        <v>6.25</v>
      </c>
      <c r="S29" s="185">
        <f t="shared" si="5"/>
        <v>65.9375</v>
      </c>
      <c r="U29" s="122">
        <f>+'Service Count Data'!$X$153</f>
        <v>0</v>
      </c>
      <c r="V29" s="657">
        <v>10.55</v>
      </c>
      <c r="W29" s="6">
        <f t="shared" si="6"/>
        <v>0</v>
      </c>
      <c r="X29" s="122">
        <f>+'Service Count Data'!$AD$153</f>
        <v>0</v>
      </c>
      <c r="Y29" s="657">
        <v>10.55</v>
      </c>
      <c r="Z29" s="6">
        <f t="shared" si="7"/>
        <v>0</v>
      </c>
      <c r="AA29" s="186">
        <f t="shared" si="8"/>
        <v>0</v>
      </c>
      <c r="AB29" s="185">
        <f t="shared" si="9"/>
        <v>0</v>
      </c>
      <c r="AC29" s="122">
        <f t="shared" si="10"/>
        <v>6.25</v>
      </c>
      <c r="AD29" s="122">
        <f t="shared" si="11"/>
        <v>110.75</v>
      </c>
      <c r="AE29" s="6">
        <f t="shared" si="12"/>
        <v>1518.4875</v>
      </c>
      <c r="AH29" s="122">
        <f t="shared" si="16"/>
        <v>6.25</v>
      </c>
    </row>
    <row r="30" spans="1:34">
      <c r="A30" t="s">
        <v>427</v>
      </c>
      <c r="C30" s="122">
        <f>+'Service Count Data'!$X$172</f>
        <v>527.75</v>
      </c>
      <c r="D30" s="656">
        <v>22.4</v>
      </c>
      <c r="E30" s="6">
        <f t="shared" si="0"/>
        <v>11821.599999999999</v>
      </c>
      <c r="F30" s="122">
        <f>+'Service Count Data'!$AD$172</f>
        <v>0</v>
      </c>
      <c r="G30" s="656">
        <v>22.4</v>
      </c>
      <c r="H30" s="6">
        <f t="shared" si="1"/>
        <v>0</v>
      </c>
      <c r="I30" s="186">
        <f t="shared" si="14"/>
        <v>527.75</v>
      </c>
      <c r="J30" s="185">
        <f t="shared" si="15"/>
        <v>11821.599999999999</v>
      </c>
      <c r="L30" s="122">
        <f>+'Service Count Data'!$X$173</f>
        <v>68.75</v>
      </c>
      <c r="M30" s="657">
        <v>19.600000000000001</v>
      </c>
      <c r="N30" s="6">
        <f t="shared" si="2"/>
        <v>1347.5</v>
      </c>
      <c r="O30" s="122">
        <f>+'Service Count Data'!$AD$173</f>
        <v>0</v>
      </c>
      <c r="P30" s="657">
        <v>19.600000000000001</v>
      </c>
      <c r="Q30" s="6">
        <f t="shared" si="3"/>
        <v>0</v>
      </c>
      <c r="R30" s="186">
        <f t="shared" si="4"/>
        <v>68.75</v>
      </c>
      <c r="S30" s="185">
        <f t="shared" si="5"/>
        <v>1347.5</v>
      </c>
      <c r="U30" s="122">
        <f>+'Service Count Data'!$X$174</f>
        <v>1135</v>
      </c>
      <c r="V30" s="657">
        <v>19.600000000000001</v>
      </c>
      <c r="W30" s="6">
        <f t="shared" si="6"/>
        <v>22246</v>
      </c>
      <c r="X30" s="122">
        <f>+'Service Count Data'!$AD$174</f>
        <v>0</v>
      </c>
      <c r="Y30" s="657">
        <v>19.600000000000001</v>
      </c>
      <c r="Z30" s="6">
        <f t="shared" si="7"/>
        <v>0</v>
      </c>
      <c r="AA30" s="186">
        <f t="shared" si="8"/>
        <v>1135</v>
      </c>
      <c r="AB30" s="185">
        <f t="shared" si="9"/>
        <v>22246</v>
      </c>
      <c r="AC30" s="122">
        <f t="shared" si="10"/>
        <v>1203.75</v>
      </c>
      <c r="AD30" s="122">
        <f t="shared" si="11"/>
        <v>1731.5</v>
      </c>
      <c r="AE30" s="6">
        <f t="shared" si="12"/>
        <v>35415.1</v>
      </c>
      <c r="AH30" s="122">
        <f t="shared" si="16"/>
        <v>1203.75</v>
      </c>
    </row>
    <row r="31" spans="1:34">
      <c r="A31" t="s">
        <v>426</v>
      </c>
      <c r="C31" s="122">
        <f>+'Service Count Data'!$X$154</f>
        <v>0</v>
      </c>
      <c r="D31" s="656">
        <v>13.5</v>
      </c>
      <c r="E31" s="6">
        <f t="shared" si="0"/>
        <v>0</v>
      </c>
      <c r="F31" s="122">
        <f>+'Service Count Data'!$AD$154</f>
        <v>0</v>
      </c>
      <c r="G31" s="656">
        <v>13.5</v>
      </c>
      <c r="H31" s="6">
        <f t="shared" si="1"/>
        <v>0</v>
      </c>
      <c r="I31" s="186">
        <f t="shared" si="14"/>
        <v>0</v>
      </c>
      <c r="J31" s="185">
        <f t="shared" si="15"/>
        <v>0</v>
      </c>
      <c r="L31" s="122">
        <f>+'Service Count Data'!$X$155</f>
        <v>0</v>
      </c>
      <c r="M31" s="657">
        <v>12.2</v>
      </c>
      <c r="N31" s="6">
        <f t="shared" si="2"/>
        <v>0</v>
      </c>
      <c r="O31" s="122">
        <f>+'Service Count Data'!$AD$155</f>
        <v>0</v>
      </c>
      <c r="P31" s="657">
        <v>12.2</v>
      </c>
      <c r="Q31" s="6">
        <f t="shared" si="3"/>
        <v>0</v>
      </c>
      <c r="R31" s="186">
        <f t="shared" si="4"/>
        <v>0</v>
      </c>
      <c r="S31" s="185">
        <f t="shared" si="5"/>
        <v>0</v>
      </c>
      <c r="U31" s="122">
        <f>+'Service Count Data'!$X$156</f>
        <v>0</v>
      </c>
      <c r="V31" s="657">
        <v>12.2</v>
      </c>
      <c r="W31" s="6">
        <f t="shared" si="6"/>
        <v>0</v>
      </c>
      <c r="X31" s="122">
        <f>+'Service Count Data'!$AD$156</f>
        <v>0</v>
      </c>
      <c r="Y31" s="657">
        <v>12.2</v>
      </c>
      <c r="Z31" s="6">
        <f t="shared" si="7"/>
        <v>0</v>
      </c>
      <c r="AA31" s="186">
        <f t="shared" si="8"/>
        <v>0</v>
      </c>
      <c r="AB31" s="185">
        <f t="shared" si="9"/>
        <v>0</v>
      </c>
      <c r="AC31" s="122">
        <f t="shared" si="10"/>
        <v>0</v>
      </c>
      <c r="AD31" s="122">
        <f t="shared" si="11"/>
        <v>0</v>
      </c>
      <c r="AE31" s="6">
        <f t="shared" si="12"/>
        <v>0</v>
      </c>
      <c r="AF31" s="56">
        <f>SUM(AE10:AE31)</f>
        <v>896566.70865473454</v>
      </c>
      <c r="AH31" s="122">
        <f t="shared" si="16"/>
        <v>0</v>
      </c>
    </row>
    <row r="32" spans="1:34">
      <c r="C32" s="122"/>
      <c r="D32" s="157"/>
      <c r="F32" s="122"/>
      <c r="G32" s="157"/>
      <c r="I32" s="186"/>
      <c r="J32" s="180"/>
      <c r="L32" s="122"/>
      <c r="M32" s="157"/>
      <c r="O32" s="122"/>
      <c r="P32" s="157"/>
      <c r="R32" s="186"/>
      <c r="S32" s="180"/>
      <c r="U32" s="122"/>
      <c r="V32" s="157"/>
      <c r="X32" s="122"/>
      <c r="Y32" s="157"/>
      <c r="AA32" s="186"/>
      <c r="AB32" s="180"/>
      <c r="AC32" s="122">
        <f t="shared" si="10"/>
        <v>0</v>
      </c>
    </row>
    <row r="33" spans="1:34">
      <c r="A33" t="s">
        <v>425</v>
      </c>
      <c r="C33" s="122"/>
      <c r="D33" s="157"/>
      <c r="F33" s="122"/>
      <c r="G33" s="157"/>
      <c r="I33" s="186"/>
      <c r="J33" s="180"/>
      <c r="L33" s="122"/>
      <c r="M33" s="157"/>
      <c r="O33" s="122"/>
      <c r="P33" s="157"/>
      <c r="R33" s="186"/>
      <c r="S33" s="180"/>
      <c r="U33" s="122"/>
      <c r="V33" s="157"/>
      <c r="X33" s="122"/>
      <c r="Y33" s="157"/>
      <c r="AA33" s="186"/>
      <c r="AB33" s="180"/>
      <c r="AC33" s="122">
        <f t="shared" si="10"/>
        <v>0</v>
      </c>
    </row>
    <row r="34" spans="1:34">
      <c r="A34" t="s">
        <v>424</v>
      </c>
      <c r="C34" s="122">
        <f>+'Service Count Data'!$X$253</f>
        <v>7843</v>
      </c>
      <c r="D34" s="656">
        <v>17.8</v>
      </c>
      <c r="E34" s="6">
        <f t="shared" ref="E34:E50" si="33">+C34*D34</f>
        <v>139605.4</v>
      </c>
      <c r="F34" s="122">
        <f>+'Service Count Data'!$AD$253</f>
        <v>0</v>
      </c>
      <c r="G34" s="656">
        <v>17.8</v>
      </c>
      <c r="H34" s="6">
        <f t="shared" ref="H34:H50" si="34">+F34*G34</f>
        <v>0</v>
      </c>
      <c r="I34" s="186">
        <f t="shared" ref="I34:I50" si="35">+C34+F34</f>
        <v>7843</v>
      </c>
      <c r="J34" s="185">
        <f t="shared" ref="J34:J50" si="36">+E34+H34</f>
        <v>139605.4</v>
      </c>
      <c r="L34" s="122">
        <f>+'Service Count Data'!$X$254</f>
        <v>823</v>
      </c>
      <c r="M34" s="656">
        <v>15.25</v>
      </c>
      <c r="N34" s="6">
        <f t="shared" ref="N34:N50" si="37">+L34*M34</f>
        <v>12550.75</v>
      </c>
      <c r="O34" s="122">
        <f>+'Service Count Data'!$AD$254</f>
        <v>0</v>
      </c>
      <c r="P34" s="656">
        <v>15.25</v>
      </c>
      <c r="Q34" s="6">
        <f t="shared" ref="Q34:Q50" si="38">+O34*P34</f>
        <v>0</v>
      </c>
      <c r="R34" s="186">
        <f t="shared" ref="R34:R50" si="39">+L34+O34</f>
        <v>823</v>
      </c>
      <c r="S34" s="185">
        <f t="shared" ref="S34:S50" si="40">+N34+Q34</f>
        <v>12550.75</v>
      </c>
      <c r="U34" s="122">
        <f>+'Service Count Data'!$X$255</f>
        <v>1628</v>
      </c>
      <c r="V34" s="656">
        <v>15.25</v>
      </c>
      <c r="W34" s="6">
        <f t="shared" ref="W34:W50" si="41">+U34*V34</f>
        <v>24827</v>
      </c>
      <c r="X34" s="122">
        <f>+'Service Count Data'!$AD$255</f>
        <v>0</v>
      </c>
      <c r="Y34" s="656">
        <v>15.25</v>
      </c>
      <c r="Z34" s="6">
        <f t="shared" ref="Z34:Z50" si="42">+X34*Y34</f>
        <v>0</v>
      </c>
      <c r="AA34" s="186">
        <f t="shared" ref="AA34:AA50" si="43">+U34+X34</f>
        <v>1628</v>
      </c>
      <c r="AB34" s="185">
        <f t="shared" ref="AB34:AB50" si="44">+W34+Z34</f>
        <v>24827</v>
      </c>
      <c r="AC34" s="122">
        <f t="shared" si="10"/>
        <v>2451</v>
      </c>
      <c r="AD34" s="122">
        <f t="shared" ref="AD34:AD50" si="45">+I34+R34+AA34</f>
        <v>10294</v>
      </c>
      <c r="AE34" s="6">
        <f t="shared" ref="AE34:AE50" si="46">+J34+S34+AB34</f>
        <v>176983.15</v>
      </c>
      <c r="AH34" s="122">
        <f t="shared" ref="AH34:AH50" si="47">+R34+AA34</f>
        <v>2451</v>
      </c>
    </row>
    <row r="35" spans="1:34">
      <c r="A35" t="s">
        <v>1417</v>
      </c>
      <c r="C35" s="122">
        <f>+'Service Count Data'!$X$259</f>
        <v>521</v>
      </c>
      <c r="D35" s="656">
        <v>22.4</v>
      </c>
      <c r="E35" s="6">
        <f t="shared" ref="E35" si="48">+C35*D35</f>
        <v>11670.4</v>
      </c>
      <c r="F35" s="122">
        <f>+'Service Count Data'!$AD$259</f>
        <v>0</v>
      </c>
      <c r="G35" s="656">
        <v>22.4</v>
      </c>
      <c r="H35" s="6">
        <f t="shared" si="34"/>
        <v>0</v>
      </c>
      <c r="I35" s="186">
        <f t="shared" ref="I35" si="49">+C35+F35</f>
        <v>521</v>
      </c>
      <c r="J35" s="185">
        <f t="shared" ref="J35" si="50">+E35+H35</f>
        <v>11670.4</v>
      </c>
      <c r="L35" s="122">
        <f>+'Service Count Data'!$X$260</f>
        <v>0</v>
      </c>
      <c r="M35" s="656">
        <v>0</v>
      </c>
      <c r="N35" s="6">
        <f t="shared" ref="N35" si="51">+L35*M35</f>
        <v>0</v>
      </c>
      <c r="O35" s="122">
        <f>+'Service Count Data'!$AD$260</f>
        <v>0</v>
      </c>
      <c r="P35" s="656">
        <v>0</v>
      </c>
      <c r="Q35" s="6">
        <f t="shared" ref="Q35" si="52">+O35*P35</f>
        <v>0</v>
      </c>
      <c r="R35" s="186">
        <f t="shared" ref="R35" si="53">+L35+O35</f>
        <v>0</v>
      </c>
      <c r="S35" s="185">
        <f t="shared" ref="S35" si="54">+N35+Q35</f>
        <v>0</v>
      </c>
      <c r="U35" s="122">
        <f>+'Service Count Data'!$X$261</f>
        <v>0</v>
      </c>
      <c r="V35" s="656">
        <v>0</v>
      </c>
      <c r="W35" s="6">
        <f t="shared" ref="W35" si="55">+U35*V35</f>
        <v>0</v>
      </c>
      <c r="X35" s="122">
        <f>+'Service Count Data'!$AD$261</f>
        <v>0</v>
      </c>
      <c r="Y35" s="656">
        <v>0</v>
      </c>
      <c r="Z35" s="6">
        <f t="shared" ref="Z35" si="56">+X35*Y35</f>
        <v>0</v>
      </c>
      <c r="AA35" s="186">
        <f t="shared" ref="AA35" si="57">+U35+X35</f>
        <v>0</v>
      </c>
      <c r="AB35" s="185">
        <f t="shared" ref="AB35" si="58">+W35+Z35</f>
        <v>0</v>
      </c>
      <c r="AC35" s="122">
        <f t="shared" ref="AC35" si="59">+R35+AA35</f>
        <v>0</v>
      </c>
      <c r="AD35" s="122">
        <f t="shared" ref="AD35" si="60">+I35+R35+AA35</f>
        <v>521</v>
      </c>
      <c r="AE35" s="6">
        <f t="shared" ref="AE35" si="61">+J35+S35+AB35</f>
        <v>11670.4</v>
      </c>
      <c r="AH35" s="122">
        <f t="shared" si="47"/>
        <v>0</v>
      </c>
    </row>
    <row r="36" spans="1:34">
      <c r="A36" t="s">
        <v>423</v>
      </c>
      <c r="C36" s="122">
        <f>+'Service Count Data'!$X$256</f>
        <v>2304</v>
      </c>
      <c r="D36" s="656">
        <v>23.15</v>
      </c>
      <c r="E36" s="6">
        <f t="shared" si="33"/>
        <v>53337.599999999999</v>
      </c>
      <c r="F36" s="122">
        <f>+'Service Count Data'!$AD$256</f>
        <v>0</v>
      </c>
      <c r="G36" s="656">
        <v>23.15</v>
      </c>
      <c r="H36" s="6">
        <f t="shared" si="34"/>
        <v>0</v>
      </c>
      <c r="I36" s="186">
        <f t="shared" si="35"/>
        <v>2304</v>
      </c>
      <c r="J36" s="185">
        <f t="shared" si="36"/>
        <v>53337.599999999999</v>
      </c>
      <c r="L36" s="122">
        <f>+'Service Count Data'!$X$257</f>
        <v>0</v>
      </c>
      <c r="M36" s="656">
        <v>20.399999999999999</v>
      </c>
      <c r="N36" s="6">
        <f t="shared" si="37"/>
        <v>0</v>
      </c>
      <c r="O36" s="122">
        <f>+'Service Count Data'!$AD$257</f>
        <v>0</v>
      </c>
      <c r="P36" s="656">
        <v>20.399999999999999</v>
      </c>
      <c r="Q36" s="6">
        <f t="shared" si="38"/>
        <v>0</v>
      </c>
      <c r="R36" s="186">
        <f t="shared" si="39"/>
        <v>0</v>
      </c>
      <c r="S36" s="185">
        <f t="shared" si="40"/>
        <v>0</v>
      </c>
      <c r="U36" s="122">
        <f>+'Service Count Data'!$X$258</f>
        <v>0</v>
      </c>
      <c r="V36" s="656">
        <v>20.399999999999999</v>
      </c>
      <c r="W36" s="6">
        <f t="shared" si="41"/>
        <v>0</v>
      </c>
      <c r="X36" s="122">
        <f>+'Service Count Data'!$AD$258</f>
        <v>0</v>
      </c>
      <c r="Y36" s="656">
        <v>20.399999999999999</v>
      </c>
      <c r="Z36" s="6">
        <f t="shared" si="42"/>
        <v>0</v>
      </c>
      <c r="AA36" s="186">
        <f t="shared" si="43"/>
        <v>0</v>
      </c>
      <c r="AB36" s="185">
        <f t="shared" si="44"/>
        <v>0</v>
      </c>
      <c r="AC36" s="122">
        <f t="shared" si="10"/>
        <v>0</v>
      </c>
      <c r="AD36" s="122">
        <f t="shared" si="45"/>
        <v>2304</v>
      </c>
      <c r="AE36" s="6">
        <f t="shared" si="46"/>
        <v>53337.599999999999</v>
      </c>
      <c r="AH36" s="122">
        <f t="shared" si="47"/>
        <v>0</v>
      </c>
    </row>
    <row r="37" spans="1:34">
      <c r="A37" t="s">
        <v>422</v>
      </c>
      <c r="C37" s="122">
        <f>+'Service Count Data'!$X$262</f>
        <v>8087</v>
      </c>
      <c r="D37" s="656">
        <v>28.5</v>
      </c>
      <c r="E37" s="6">
        <f t="shared" si="33"/>
        <v>230479.5</v>
      </c>
      <c r="F37" s="122">
        <f>+'Service Count Data'!$AD$262</f>
        <v>0</v>
      </c>
      <c r="G37" s="656">
        <v>28.5</v>
      </c>
      <c r="H37" s="6">
        <f t="shared" si="34"/>
        <v>0</v>
      </c>
      <c r="I37" s="186">
        <f t="shared" si="35"/>
        <v>8087</v>
      </c>
      <c r="J37" s="185">
        <f t="shared" si="36"/>
        <v>230479.5</v>
      </c>
      <c r="L37" s="122">
        <f>+'Service Count Data'!$X$263</f>
        <v>653</v>
      </c>
      <c r="M37" s="656">
        <v>23.3</v>
      </c>
      <c r="N37" s="6">
        <f t="shared" si="37"/>
        <v>15214.9</v>
      </c>
      <c r="O37" s="122">
        <f>+'Service Count Data'!$AD$263</f>
        <v>0</v>
      </c>
      <c r="P37" s="656">
        <v>23.3</v>
      </c>
      <c r="Q37" s="6">
        <f t="shared" si="38"/>
        <v>0</v>
      </c>
      <c r="R37" s="186">
        <f t="shared" si="39"/>
        <v>653</v>
      </c>
      <c r="S37" s="185">
        <f t="shared" si="40"/>
        <v>15214.9</v>
      </c>
      <c r="U37" s="122">
        <f>+'Service Count Data'!$X$264</f>
        <v>2100</v>
      </c>
      <c r="V37" s="656">
        <v>23.3</v>
      </c>
      <c r="W37" s="6">
        <f t="shared" si="41"/>
        <v>48930</v>
      </c>
      <c r="X37" s="122">
        <f>+'Service Count Data'!$AD$264</f>
        <v>0</v>
      </c>
      <c r="Y37" s="656">
        <v>23.3</v>
      </c>
      <c r="Z37" s="6">
        <f t="shared" si="42"/>
        <v>0</v>
      </c>
      <c r="AA37" s="186">
        <f t="shared" si="43"/>
        <v>2100</v>
      </c>
      <c r="AB37" s="185">
        <f t="shared" si="44"/>
        <v>48930</v>
      </c>
      <c r="AC37" s="122">
        <f t="shared" si="10"/>
        <v>2753</v>
      </c>
      <c r="AD37" s="122">
        <f t="shared" si="45"/>
        <v>10840</v>
      </c>
      <c r="AE37" s="6">
        <f t="shared" si="46"/>
        <v>294624.40000000002</v>
      </c>
      <c r="AH37" s="122">
        <f t="shared" si="47"/>
        <v>2753</v>
      </c>
    </row>
    <row r="38" spans="1:34">
      <c r="A38" t="s">
        <v>1419</v>
      </c>
      <c r="C38" s="122">
        <f>+'Service Count Data'!$X$265</f>
        <v>127</v>
      </c>
      <c r="D38" s="656">
        <v>34.549999999999997</v>
      </c>
      <c r="E38" s="6">
        <f t="shared" ref="E38" si="62">+C38*D38</f>
        <v>4387.8499999999995</v>
      </c>
      <c r="F38" s="122">
        <f>+'Service Count Data'!$AD$265</f>
        <v>0</v>
      </c>
      <c r="G38" s="656">
        <v>34.549999999999997</v>
      </c>
      <c r="H38" s="6">
        <f t="shared" si="34"/>
        <v>0</v>
      </c>
      <c r="I38" s="186">
        <f t="shared" ref="I38" si="63">+C38+F38</f>
        <v>127</v>
      </c>
      <c r="J38" s="185">
        <f t="shared" ref="J38" si="64">+E38+H38</f>
        <v>4387.8499999999995</v>
      </c>
      <c r="L38" s="122">
        <f>+'Service Count Data'!$X$266</f>
        <v>0</v>
      </c>
      <c r="M38" s="656">
        <v>0</v>
      </c>
      <c r="N38" s="6">
        <f t="shared" ref="N38" si="65">+L38*M38</f>
        <v>0</v>
      </c>
      <c r="O38" s="122">
        <f>+'Service Count Data'!$AD$266</f>
        <v>0</v>
      </c>
      <c r="P38" s="656">
        <v>0</v>
      </c>
      <c r="Q38" s="6">
        <f t="shared" ref="Q38" si="66">+O38*P38</f>
        <v>0</v>
      </c>
      <c r="R38" s="186">
        <f t="shared" ref="R38" si="67">+L38+O38</f>
        <v>0</v>
      </c>
      <c r="S38" s="185">
        <f t="shared" ref="S38" si="68">+N38+Q38</f>
        <v>0</v>
      </c>
      <c r="U38" s="122">
        <f>+'Service Count Data'!$X$267</f>
        <v>0</v>
      </c>
      <c r="V38" s="656">
        <v>0</v>
      </c>
      <c r="W38" s="6">
        <f t="shared" ref="W38" si="69">+U38*V38</f>
        <v>0</v>
      </c>
      <c r="X38" s="122">
        <f>+'Service Count Data'!$AD$267</f>
        <v>0</v>
      </c>
      <c r="Y38" s="656">
        <v>0</v>
      </c>
      <c r="Z38" s="6">
        <f t="shared" ref="Z38" si="70">+X38*Y38</f>
        <v>0</v>
      </c>
      <c r="AA38" s="186">
        <f t="shared" ref="AA38" si="71">+U38+X38</f>
        <v>0</v>
      </c>
      <c r="AB38" s="185">
        <f t="shared" ref="AB38" si="72">+W38+Z38</f>
        <v>0</v>
      </c>
      <c r="AC38" s="122">
        <f t="shared" ref="AC38" si="73">+R38+AA38</f>
        <v>0</v>
      </c>
      <c r="AD38" s="122">
        <f t="shared" ref="AD38" si="74">+I38+R38+AA38</f>
        <v>127</v>
      </c>
      <c r="AE38" s="6">
        <f t="shared" ref="AE38" si="75">+J38+S38+AB38</f>
        <v>4387.8499999999995</v>
      </c>
      <c r="AH38" s="122">
        <f t="shared" si="47"/>
        <v>0</v>
      </c>
    </row>
    <row r="39" spans="1:34">
      <c r="A39" t="s">
        <v>421</v>
      </c>
      <c r="C39" s="122">
        <f>+'Service Count Data'!$X$268</f>
        <v>765</v>
      </c>
      <c r="D39" s="656">
        <v>39.950000000000003</v>
      </c>
      <c r="E39" s="6">
        <f t="shared" si="33"/>
        <v>30561.750000000004</v>
      </c>
      <c r="F39" s="122">
        <f>+'Service Count Data'!$AD$268</f>
        <v>0</v>
      </c>
      <c r="G39" s="656">
        <v>39.950000000000003</v>
      </c>
      <c r="H39" s="6">
        <f t="shared" si="34"/>
        <v>0</v>
      </c>
      <c r="I39" s="186">
        <f t="shared" si="35"/>
        <v>765</v>
      </c>
      <c r="J39" s="185">
        <f t="shared" si="36"/>
        <v>30561.750000000004</v>
      </c>
      <c r="L39" s="122">
        <f>+'Service Count Data'!$X$269</f>
        <v>52</v>
      </c>
      <c r="M39" s="656">
        <v>30.5</v>
      </c>
      <c r="N39" s="6">
        <f t="shared" si="37"/>
        <v>1586</v>
      </c>
      <c r="O39" s="122">
        <f>+'Service Count Data'!$AD$269</f>
        <v>0</v>
      </c>
      <c r="P39" s="656">
        <v>30.5</v>
      </c>
      <c r="Q39" s="6">
        <f t="shared" si="38"/>
        <v>0</v>
      </c>
      <c r="R39" s="186">
        <f t="shared" si="39"/>
        <v>52</v>
      </c>
      <c r="S39" s="185">
        <f t="shared" si="40"/>
        <v>1586</v>
      </c>
      <c r="U39" s="122">
        <f>+'Service Count Data'!$X$270</f>
        <v>0</v>
      </c>
      <c r="V39" s="656">
        <v>30.5</v>
      </c>
      <c r="W39" s="6">
        <f t="shared" si="41"/>
        <v>0</v>
      </c>
      <c r="X39" s="122">
        <f>+'Service Count Data'!$AD$270</f>
        <v>0</v>
      </c>
      <c r="Y39" s="656">
        <v>30.5</v>
      </c>
      <c r="Z39" s="6">
        <f t="shared" si="42"/>
        <v>0</v>
      </c>
      <c r="AA39" s="186">
        <f t="shared" si="43"/>
        <v>0</v>
      </c>
      <c r="AB39" s="185">
        <f t="shared" si="44"/>
        <v>0</v>
      </c>
      <c r="AC39" s="122">
        <f t="shared" si="10"/>
        <v>52</v>
      </c>
      <c r="AD39" s="122">
        <f t="shared" si="45"/>
        <v>817</v>
      </c>
      <c r="AE39" s="6">
        <f t="shared" si="46"/>
        <v>32147.750000000004</v>
      </c>
      <c r="AH39" s="122">
        <f t="shared" si="47"/>
        <v>52</v>
      </c>
    </row>
    <row r="40" spans="1:34">
      <c r="A40" t="s">
        <v>420</v>
      </c>
      <c r="C40" s="122">
        <f>+'Service Count Data'!$X$271</f>
        <v>2165</v>
      </c>
      <c r="D40" s="656">
        <v>52.6</v>
      </c>
      <c r="E40" s="6">
        <f t="shared" si="33"/>
        <v>113879</v>
      </c>
      <c r="F40" s="122">
        <f>+'Service Count Data'!$AD$271</f>
        <v>0</v>
      </c>
      <c r="G40" s="656">
        <v>52.6</v>
      </c>
      <c r="H40" s="6">
        <f t="shared" si="34"/>
        <v>0</v>
      </c>
      <c r="I40" s="186">
        <f t="shared" si="35"/>
        <v>2165</v>
      </c>
      <c r="J40" s="185">
        <f t="shared" si="36"/>
        <v>113879</v>
      </c>
      <c r="L40" s="122">
        <f>+'Service Count Data'!$X$272</f>
        <v>612</v>
      </c>
      <c r="M40" s="656">
        <v>38.950000000000003</v>
      </c>
      <c r="N40" s="6">
        <f t="shared" si="37"/>
        <v>23837.4</v>
      </c>
      <c r="O40" s="122">
        <f>+'Service Count Data'!$AD$272</f>
        <v>0</v>
      </c>
      <c r="P40" s="656">
        <v>38.950000000000003</v>
      </c>
      <c r="Q40" s="6">
        <f t="shared" si="38"/>
        <v>0</v>
      </c>
      <c r="R40" s="186">
        <f t="shared" si="39"/>
        <v>612</v>
      </c>
      <c r="S40" s="185">
        <f t="shared" si="40"/>
        <v>23837.4</v>
      </c>
      <c r="U40" s="122">
        <f>+'Service Count Data'!$X$273</f>
        <v>731</v>
      </c>
      <c r="V40" s="656">
        <v>38.950000000000003</v>
      </c>
      <c r="W40" s="6">
        <f t="shared" si="41"/>
        <v>28472.45</v>
      </c>
      <c r="X40" s="122">
        <f>+'Service Count Data'!$AD$273</f>
        <v>0</v>
      </c>
      <c r="Y40" s="656">
        <v>38.950000000000003</v>
      </c>
      <c r="Z40" s="6">
        <f t="shared" si="42"/>
        <v>0</v>
      </c>
      <c r="AA40" s="186">
        <f t="shared" si="43"/>
        <v>731</v>
      </c>
      <c r="AB40" s="185">
        <f t="shared" si="44"/>
        <v>28472.45</v>
      </c>
      <c r="AC40" s="122">
        <f t="shared" si="10"/>
        <v>1343</v>
      </c>
      <c r="AD40" s="122">
        <f t="shared" si="45"/>
        <v>3508</v>
      </c>
      <c r="AE40" s="6">
        <f t="shared" si="46"/>
        <v>166188.85</v>
      </c>
      <c r="AH40" s="122">
        <f t="shared" si="47"/>
        <v>1343</v>
      </c>
    </row>
    <row r="41" spans="1:34">
      <c r="A41" t="s">
        <v>419</v>
      </c>
      <c r="C41" s="122">
        <f>+'Service Count Data'!$X$274</f>
        <v>2181</v>
      </c>
      <c r="D41" s="656">
        <v>77.25</v>
      </c>
      <c r="E41" s="6">
        <f t="shared" si="33"/>
        <v>168482.25</v>
      </c>
      <c r="F41" s="122">
        <f>+'Service Count Data'!$AD$274</f>
        <v>0</v>
      </c>
      <c r="G41" s="656">
        <v>77.25</v>
      </c>
      <c r="H41" s="6">
        <f t="shared" si="34"/>
        <v>0</v>
      </c>
      <c r="I41" s="186">
        <f t="shared" si="35"/>
        <v>2181</v>
      </c>
      <c r="J41" s="185">
        <f t="shared" si="36"/>
        <v>168482.25</v>
      </c>
      <c r="L41" s="122">
        <f>+'Service Count Data'!$X$275</f>
        <v>273</v>
      </c>
      <c r="M41" s="656">
        <v>61.6</v>
      </c>
      <c r="N41" s="6">
        <f t="shared" si="37"/>
        <v>16816.8</v>
      </c>
      <c r="O41" s="122">
        <f>+'Service Count Data'!$AD$275</f>
        <v>0</v>
      </c>
      <c r="P41" s="656">
        <v>61.6</v>
      </c>
      <c r="Q41" s="6">
        <f t="shared" si="38"/>
        <v>0</v>
      </c>
      <c r="R41" s="186">
        <f t="shared" si="39"/>
        <v>273</v>
      </c>
      <c r="S41" s="185">
        <f t="shared" si="40"/>
        <v>16816.8</v>
      </c>
      <c r="U41" s="122">
        <f>+'Service Count Data'!$X$276</f>
        <v>2878</v>
      </c>
      <c r="V41" s="656">
        <v>61.6</v>
      </c>
      <c r="W41" s="6">
        <f t="shared" si="41"/>
        <v>177284.80000000002</v>
      </c>
      <c r="X41" s="122">
        <f>+'Service Count Data'!$AD$276</f>
        <v>0</v>
      </c>
      <c r="Y41" s="656">
        <v>61.6</v>
      </c>
      <c r="Z41" s="6">
        <f t="shared" si="42"/>
        <v>0</v>
      </c>
      <c r="AA41" s="186">
        <f t="shared" si="43"/>
        <v>2878</v>
      </c>
      <c r="AB41" s="185">
        <f t="shared" si="44"/>
        <v>177284.80000000002</v>
      </c>
      <c r="AC41" s="122">
        <f t="shared" si="10"/>
        <v>3151</v>
      </c>
      <c r="AD41" s="122">
        <f t="shared" si="45"/>
        <v>5332</v>
      </c>
      <c r="AE41" s="6">
        <f t="shared" si="46"/>
        <v>362583.85</v>
      </c>
      <c r="AH41" s="122">
        <f t="shared" si="47"/>
        <v>3151</v>
      </c>
    </row>
    <row r="42" spans="1:34">
      <c r="A42" t="s">
        <v>418</v>
      </c>
      <c r="C42" s="122">
        <f>+'Service Count Data'!$X$277</f>
        <v>0</v>
      </c>
      <c r="D42" s="656">
        <v>88.14</v>
      </c>
      <c r="E42" s="6">
        <f t="shared" si="33"/>
        <v>0</v>
      </c>
      <c r="F42" s="122">
        <f>+'Service Count Data'!$AD$277</f>
        <v>0</v>
      </c>
      <c r="G42" s="656">
        <v>88.14</v>
      </c>
      <c r="H42" s="6">
        <f t="shared" si="34"/>
        <v>0</v>
      </c>
      <c r="I42" s="186">
        <f t="shared" si="35"/>
        <v>0</v>
      </c>
      <c r="J42" s="185">
        <f t="shared" si="36"/>
        <v>0</v>
      </c>
      <c r="L42" s="122">
        <f>+'Service Count Data'!$X$278</f>
        <v>0</v>
      </c>
      <c r="M42" s="656">
        <v>81.900000000000006</v>
      </c>
      <c r="N42" s="6">
        <f t="shared" si="37"/>
        <v>0</v>
      </c>
      <c r="O42" s="122">
        <f>+'Service Count Data'!$AD$278</f>
        <v>0</v>
      </c>
      <c r="P42" s="656">
        <v>81.900000000000006</v>
      </c>
      <c r="Q42" s="6">
        <f t="shared" si="38"/>
        <v>0</v>
      </c>
      <c r="R42" s="186">
        <f t="shared" si="39"/>
        <v>0</v>
      </c>
      <c r="S42" s="185">
        <f t="shared" si="40"/>
        <v>0</v>
      </c>
      <c r="U42" s="122">
        <f>+'Service Count Data'!$X$279</f>
        <v>0</v>
      </c>
      <c r="V42" s="656">
        <v>81.900000000000006</v>
      </c>
      <c r="W42" s="6">
        <f t="shared" si="41"/>
        <v>0</v>
      </c>
      <c r="X42" s="122">
        <f>+'Service Count Data'!$AD$279</f>
        <v>0</v>
      </c>
      <c r="Y42" s="656">
        <v>81.900000000000006</v>
      </c>
      <c r="Z42" s="6">
        <f t="shared" si="42"/>
        <v>0</v>
      </c>
      <c r="AA42" s="186">
        <f t="shared" si="43"/>
        <v>0</v>
      </c>
      <c r="AB42" s="185">
        <f t="shared" si="44"/>
        <v>0</v>
      </c>
      <c r="AC42" s="122">
        <f t="shared" ref="AC42:AC73" si="76">+R42+AA42</f>
        <v>0</v>
      </c>
      <c r="AD42" s="122">
        <f t="shared" si="45"/>
        <v>0</v>
      </c>
      <c r="AE42" s="6">
        <f t="shared" si="46"/>
        <v>0</v>
      </c>
      <c r="AH42" s="122">
        <f t="shared" si="47"/>
        <v>0</v>
      </c>
    </row>
    <row r="43" spans="1:34">
      <c r="A43" t="s">
        <v>417</v>
      </c>
      <c r="C43" s="122">
        <f>+'Service Count Data'!$X$118</f>
        <v>84</v>
      </c>
      <c r="D43" s="656">
        <v>10.15</v>
      </c>
      <c r="E43" s="6">
        <f t="shared" si="33"/>
        <v>852.6</v>
      </c>
      <c r="F43" s="122">
        <f>+'Service Count Data'!$AD$118</f>
        <v>0</v>
      </c>
      <c r="G43" s="656">
        <v>10.15</v>
      </c>
      <c r="H43" s="6">
        <f t="shared" si="34"/>
        <v>0</v>
      </c>
      <c r="I43" s="186">
        <f t="shared" si="35"/>
        <v>84</v>
      </c>
      <c r="J43" s="185">
        <f t="shared" si="36"/>
        <v>852.6</v>
      </c>
      <c r="L43" s="122">
        <f>+'Service Count Data'!$X$119</f>
        <v>2</v>
      </c>
      <c r="M43" s="656">
        <v>8.25</v>
      </c>
      <c r="N43" s="6">
        <f t="shared" si="37"/>
        <v>16.5</v>
      </c>
      <c r="O43" s="122">
        <f>+'Service Count Data'!$AD$119</f>
        <v>0</v>
      </c>
      <c r="P43" s="656">
        <v>8.25</v>
      </c>
      <c r="Q43" s="6">
        <f t="shared" si="38"/>
        <v>0</v>
      </c>
      <c r="R43" s="186">
        <f t="shared" si="39"/>
        <v>2</v>
      </c>
      <c r="S43" s="185">
        <f t="shared" si="40"/>
        <v>16.5</v>
      </c>
      <c r="U43" s="122">
        <f>+'Service Count Data'!$X$120</f>
        <v>2</v>
      </c>
      <c r="V43" s="656">
        <v>8.25</v>
      </c>
      <c r="W43" s="6">
        <f t="shared" si="41"/>
        <v>16.5</v>
      </c>
      <c r="X43" s="122">
        <f>+'Service Count Data'!$AD$120</f>
        <v>0</v>
      </c>
      <c r="Y43" s="656">
        <v>8.25</v>
      </c>
      <c r="Z43" s="6">
        <f t="shared" si="42"/>
        <v>0</v>
      </c>
      <c r="AA43" s="186">
        <f t="shared" si="43"/>
        <v>2</v>
      </c>
      <c r="AB43" s="185">
        <f t="shared" si="44"/>
        <v>16.5</v>
      </c>
      <c r="AC43" s="122">
        <f t="shared" si="76"/>
        <v>4</v>
      </c>
      <c r="AD43" s="122">
        <f t="shared" si="45"/>
        <v>88</v>
      </c>
      <c r="AE43" s="6">
        <f t="shared" si="46"/>
        <v>885.6</v>
      </c>
      <c r="AH43" s="122">
        <f t="shared" si="47"/>
        <v>4</v>
      </c>
    </row>
    <row r="44" spans="1:34">
      <c r="A44" t="s">
        <v>416</v>
      </c>
      <c r="C44" s="122">
        <f>+'Service Count Data'!$X$121</f>
        <v>13</v>
      </c>
      <c r="D44" s="656">
        <v>13.3</v>
      </c>
      <c r="E44" s="6">
        <f t="shared" si="33"/>
        <v>172.9</v>
      </c>
      <c r="F44" s="122">
        <f>+'Service Count Data'!$AD$121</f>
        <v>0</v>
      </c>
      <c r="G44" s="656">
        <v>13.3</v>
      </c>
      <c r="H44" s="6">
        <f t="shared" si="34"/>
        <v>0</v>
      </c>
      <c r="I44" s="186">
        <f t="shared" si="35"/>
        <v>13</v>
      </c>
      <c r="J44" s="185">
        <f t="shared" si="36"/>
        <v>172.9</v>
      </c>
      <c r="L44" s="122">
        <f>+'Service Count Data'!$X$122</f>
        <v>0</v>
      </c>
      <c r="M44" s="656">
        <v>10.9</v>
      </c>
      <c r="N44" s="6">
        <f t="shared" si="37"/>
        <v>0</v>
      </c>
      <c r="O44" s="122">
        <f>+'Service Count Data'!$AD$122</f>
        <v>0</v>
      </c>
      <c r="P44" s="656">
        <v>10.9</v>
      </c>
      <c r="Q44" s="6">
        <f t="shared" si="38"/>
        <v>0</v>
      </c>
      <c r="R44" s="186">
        <f t="shared" si="39"/>
        <v>0</v>
      </c>
      <c r="S44" s="185">
        <f t="shared" si="40"/>
        <v>0</v>
      </c>
      <c r="U44" s="122">
        <f>+'Service Count Data'!$X$123</f>
        <v>0</v>
      </c>
      <c r="V44" s="656">
        <v>10.9</v>
      </c>
      <c r="W44" s="6">
        <f t="shared" si="41"/>
        <v>0</v>
      </c>
      <c r="X44" s="122">
        <f>+'Service Count Data'!$AD$123</f>
        <v>0</v>
      </c>
      <c r="Y44" s="656">
        <v>10.9</v>
      </c>
      <c r="Z44" s="6">
        <f t="shared" si="42"/>
        <v>0</v>
      </c>
      <c r="AA44" s="186">
        <f t="shared" si="43"/>
        <v>0</v>
      </c>
      <c r="AB44" s="185">
        <f t="shared" si="44"/>
        <v>0</v>
      </c>
      <c r="AC44" s="122">
        <f t="shared" si="76"/>
        <v>0</v>
      </c>
      <c r="AD44" s="122">
        <f t="shared" si="45"/>
        <v>13</v>
      </c>
      <c r="AE44" s="6">
        <f t="shared" si="46"/>
        <v>172.9</v>
      </c>
      <c r="AH44" s="122">
        <f t="shared" si="47"/>
        <v>0</v>
      </c>
    </row>
    <row r="45" spans="1:34">
      <c r="A45" t="s">
        <v>415</v>
      </c>
      <c r="C45" s="122">
        <f>+'Service Count Data'!$X$124</f>
        <v>47</v>
      </c>
      <c r="D45" s="656">
        <v>17.600000000000001</v>
      </c>
      <c r="E45" s="6">
        <f t="shared" si="33"/>
        <v>827.2</v>
      </c>
      <c r="F45" s="122">
        <f>+'Service Count Data'!$AD$124</f>
        <v>0</v>
      </c>
      <c r="G45" s="656">
        <v>17.600000000000001</v>
      </c>
      <c r="H45" s="6">
        <f t="shared" si="34"/>
        <v>0</v>
      </c>
      <c r="I45" s="186">
        <f t="shared" si="35"/>
        <v>47</v>
      </c>
      <c r="J45" s="185">
        <f t="shared" si="36"/>
        <v>827.2</v>
      </c>
      <c r="L45" s="122">
        <f>+'Service Count Data'!$X$125</f>
        <v>3</v>
      </c>
      <c r="M45" s="656">
        <v>14.5</v>
      </c>
      <c r="N45" s="6">
        <f t="shared" si="37"/>
        <v>43.5</v>
      </c>
      <c r="O45" s="122">
        <f>+'Service Count Data'!$AD$125</f>
        <v>0</v>
      </c>
      <c r="P45" s="656">
        <v>14.5</v>
      </c>
      <c r="Q45" s="6">
        <f t="shared" si="38"/>
        <v>0</v>
      </c>
      <c r="R45" s="186">
        <f t="shared" si="39"/>
        <v>3</v>
      </c>
      <c r="S45" s="185">
        <f t="shared" si="40"/>
        <v>43.5</v>
      </c>
      <c r="U45" s="122">
        <f>+'Service Count Data'!$X$126</f>
        <v>5</v>
      </c>
      <c r="V45" s="656">
        <v>14.5</v>
      </c>
      <c r="W45" s="6">
        <f t="shared" si="41"/>
        <v>72.5</v>
      </c>
      <c r="X45" s="122">
        <f>+'Service Count Data'!$AD$126</f>
        <v>0</v>
      </c>
      <c r="Y45" s="656">
        <v>14.5</v>
      </c>
      <c r="Z45" s="6">
        <f t="shared" si="42"/>
        <v>0</v>
      </c>
      <c r="AA45" s="186">
        <f t="shared" si="43"/>
        <v>5</v>
      </c>
      <c r="AB45" s="185">
        <f t="shared" si="44"/>
        <v>72.5</v>
      </c>
      <c r="AC45" s="122">
        <f t="shared" si="76"/>
        <v>8</v>
      </c>
      <c r="AD45" s="122">
        <f t="shared" si="45"/>
        <v>55</v>
      </c>
      <c r="AE45" s="6">
        <f t="shared" si="46"/>
        <v>943.2</v>
      </c>
      <c r="AH45" s="122">
        <f t="shared" si="47"/>
        <v>8</v>
      </c>
    </row>
    <row r="46" spans="1:34">
      <c r="A46" t="s">
        <v>414</v>
      </c>
      <c r="C46" s="122">
        <f>+'Service Count Data'!$X$127</f>
        <v>0</v>
      </c>
      <c r="D46" s="656">
        <v>19.45</v>
      </c>
      <c r="E46" s="6">
        <f t="shared" si="33"/>
        <v>0</v>
      </c>
      <c r="F46" s="122">
        <f>+'Service Count Data'!$AD$127</f>
        <v>0</v>
      </c>
      <c r="G46" s="656">
        <v>19.45</v>
      </c>
      <c r="H46" s="6">
        <f t="shared" si="34"/>
        <v>0</v>
      </c>
      <c r="I46" s="186">
        <f t="shared" si="35"/>
        <v>0</v>
      </c>
      <c r="J46" s="185">
        <f t="shared" si="36"/>
        <v>0</v>
      </c>
      <c r="L46" s="122">
        <f>+'Service Count Data'!$X$128</f>
        <v>0</v>
      </c>
      <c r="M46" s="656">
        <v>15.2</v>
      </c>
      <c r="N46" s="6">
        <f t="shared" si="37"/>
        <v>0</v>
      </c>
      <c r="O46" s="122">
        <f>+'Service Count Data'!$AD$128</f>
        <v>0</v>
      </c>
      <c r="P46" s="656">
        <v>15.2</v>
      </c>
      <c r="Q46" s="6">
        <f t="shared" si="38"/>
        <v>0</v>
      </c>
      <c r="R46" s="186">
        <f t="shared" si="39"/>
        <v>0</v>
      </c>
      <c r="S46" s="185">
        <f t="shared" si="40"/>
        <v>0</v>
      </c>
      <c r="U46" s="122">
        <f>+'Service Count Data'!$X$129</f>
        <v>0</v>
      </c>
      <c r="V46" s="656">
        <v>15.2</v>
      </c>
      <c r="W46" s="6">
        <f t="shared" si="41"/>
        <v>0</v>
      </c>
      <c r="X46" s="122">
        <f>+'Service Count Data'!$AD$129</f>
        <v>0</v>
      </c>
      <c r="Y46" s="656">
        <v>15.2</v>
      </c>
      <c r="Z46" s="6">
        <f t="shared" si="42"/>
        <v>0</v>
      </c>
      <c r="AA46" s="186">
        <f t="shared" si="43"/>
        <v>0</v>
      </c>
      <c r="AB46" s="185">
        <f t="shared" si="44"/>
        <v>0</v>
      </c>
      <c r="AC46" s="122">
        <f t="shared" si="76"/>
        <v>0</v>
      </c>
      <c r="AD46" s="122">
        <f t="shared" si="45"/>
        <v>0</v>
      </c>
      <c r="AE46" s="6">
        <f t="shared" si="46"/>
        <v>0</v>
      </c>
      <c r="AH46" s="122">
        <f t="shared" si="47"/>
        <v>0</v>
      </c>
    </row>
    <row r="47" spans="1:34">
      <c r="A47" t="s">
        <v>413</v>
      </c>
      <c r="C47" s="122">
        <f>+'Service Count Data'!$X$130</f>
        <v>14</v>
      </c>
      <c r="D47" s="656">
        <v>19.45</v>
      </c>
      <c r="E47" s="6">
        <f t="shared" si="33"/>
        <v>272.3</v>
      </c>
      <c r="F47" s="122">
        <f>+'Service Count Data'!$AD$130</f>
        <v>0</v>
      </c>
      <c r="G47" s="656">
        <v>19.45</v>
      </c>
      <c r="H47" s="6">
        <f t="shared" si="34"/>
        <v>0</v>
      </c>
      <c r="I47" s="186">
        <f t="shared" si="35"/>
        <v>14</v>
      </c>
      <c r="J47" s="185">
        <f t="shared" si="36"/>
        <v>272.3</v>
      </c>
      <c r="L47" s="122">
        <f>+'Service Count Data'!$X$131</f>
        <v>0</v>
      </c>
      <c r="M47" s="656">
        <v>15.8</v>
      </c>
      <c r="N47" s="6">
        <f t="shared" si="37"/>
        <v>0</v>
      </c>
      <c r="O47" s="122">
        <f>+'Service Count Data'!$AD$131</f>
        <v>0</v>
      </c>
      <c r="P47" s="656">
        <v>15.8</v>
      </c>
      <c r="Q47" s="6">
        <f t="shared" si="38"/>
        <v>0</v>
      </c>
      <c r="R47" s="186">
        <f t="shared" si="39"/>
        <v>0</v>
      </c>
      <c r="S47" s="185">
        <f t="shared" si="40"/>
        <v>0</v>
      </c>
      <c r="U47" s="122">
        <f>+'Service Count Data'!$X$132</f>
        <v>3</v>
      </c>
      <c r="V47" s="656">
        <v>15.8</v>
      </c>
      <c r="W47" s="6">
        <f t="shared" si="41"/>
        <v>47.400000000000006</v>
      </c>
      <c r="X47" s="122">
        <f>+'Service Count Data'!$AD$132</f>
        <v>0</v>
      </c>
      <c r="Y47" s="656">
        <v>15.8</v>
      </c>
      <c r="Z47" s="6">
        <f t="shared" si="42"/>
        <v>0</v>
      </c>
      <c r="AA47" s="186">
        <f t="shared" si="43"/>
        <v>3</v>
      </c>
      <c r="AB47" s="185">
        <f t="shared" si="44"/>
        <v>47.400000000000006</v>
      </c>
      <c r="AC47" s="122">
        <f t="shared" si="76"/>
        <v>3</v>
      </c>
      <c r="AD47" s="122">
        <f t="shared" si="45"/>
        <v>17</v>
      </c>
      <c r="AE47" s="6">
        <f t="shared" si="46"/>
        <v>319.70000000000005</v>
      </c>
      <c r="AH47" s="122">
        <f t="shared" si="47"/>
        <v>3</v>
      </c>
    </row>
    <row r="48" spans="1:34">
      <c r="A48" t="s">
        <v>412</v>
      </c>
      <c r="C48" s="122">
        <f>+'Service Count Data'!$X$133</f>
        <v>5</v>
      </c>
      <c r="D48" s="656">
        <v>22.4</v>
      </c>
      <c r="E48" s="6">
        <f t="shared" si="33"/>
        <v>112</v>
      </c>
      <c r="F48" s="122">
        <f>+'Service Count Data'!$AD$133</f>
        <v>0</v>
      </c>
      <c r="G48" s="656">
        <v>22.4</v>
      </c>
      <c r="H48" s="6">
        <f t="shared" si="34"/>
        <v>0</v>
      </c>
      <c r="I48" s="186">
        <f t="shared" si="35"/>
        <v>5</v>
      </c>
      <c r="J48" s="185">
        <f t="shared" si="36"/>
        <v>112</v>
      </c>
      <c r="L48" s="122">
        <f>+'Service Count Data'!$X$134</f>
        <v>0</v>
      </c>
      <c r="M48" s="656">
        <v>18.350000000000001</v>
      </c>
      <c r="N48" s="6">
        <f t="shared" si="37"/>
        <v>0</v>
      </c>
      <c r="O48" s="122">
        <f>+'Service Count Data'!$AD$134</f>
        <v>0</v>
      </c>
      <c r="P48" s="656">
        <v>18.350000000000001</v>
      </c>
      <c r="Q48" s="6">
        <f t="shared" si="38"/>
        <v>0</v>
      </c>
      <c r="R48" s="186">
        <f t="shared" si="39"/>
        <v>0</v>
      </c>
      <c r="S48" s="185">
        <f t="shared" si="40"/>
        <v>0</v>
      </c>
      <c r="U48" s="122">
        <f>+'Service Count Data'!$X$135</f>
        <v>3</v>
      </c>
      <c r="V48" s="656">
        <v>18.350000000000001</v>
      </c>
      <c r="W48" s="6">
        <f t="shared" si="41"/>
        <v>55.050000000000004</v>
      </c>
      <c r="X48" s="122">
        <f>+'Service Count Data'!$AD$135</f>
        <v>0</v>
      </c>
      <c r="Y48" s="656">
        <v>18.350000000000001</v>
      </c>
      <c r="Z48" s="6">
        <f t="shared" si="42"/>
        <v>0</v>
      </c>
      <c r="AA48" s="186">
        <f t="shared" si="43"/>
        <v>3</v>
      </c>
      <c r="AB48" s="185">
        <f t="shared" si="44"/>
        <v>55.050000000000004</v>
      </c>
      <c r="AC48" s="122">
        <f t="shared" si="76"/>
        <v>3</v>
      </c>
      <c r="AD48" s="122">
        <f t="shared" si="45"/>
        <v>8</v>
      </c>
      <c r="AE48" s="6">
        <f t="shared" si="46"/>
        <v>167.05</v>
      </c>
      <c r="AH48" s="122">
        <f t="shared" si="47"/>
        <v>3</v>
      </c>
    </row>
    <row r="49" spans="1:34">
      <c r="A49" t="s">
        <v>411</v>
      </c>
      <c r="C49" s="122">
        <f>+'Service Count Data'!$X$241</f>
        <v>104</v>
      </c>
      <c r="D49" s="656">
        <v>2.85</v>
      </c>
      <c r="E49" s="6">
        <f t="shared" si="33"/>
        <v>296.40000000000003</v>
      </c>
      <c r="F49" s="122">
        <f>+'Service Count Data'!$AD$241</f>
        <v>0</v>
      </c>
      <c r="G49" s="656">
        <v>2.85</v>
      </c>
      <c r="H49" s="6">
        <f t="shared" si="34"/>
        <v>0</v>
      </c>
      <c r="I49" s="186">
        <f t="shared" si="35"/>
        <v>104</v>
      </c>
      <c r="J49" s="185">
        <f t="shared" si="36"/>
        <v>296.40000000000003</v>
      </c>
      <c r="L49" s="122">
        <f>+'Service Count Data'!$X$242</f>
        <v>0</v>
      </c>
      <c r="M49" s="656">
        <v>2.2999999999999998</v>
      </c>
      <c r="N49" s="6">
        <f t="shared" si="37"/>
        <v>0</v>
      </c>
      <c r="O49" s="122">
        <f>+'Service Count Data'!$AD$242</f>
        <v>0</v>
      </c>
      <c r="P49" s="656">
        <v>2.2999999999999998</v>
      </c>
      <c r="Q49" s="6">
        <f t="shared" si="38"/>
        <v>0</v>
      </c>
      <c r="R49" s="186">
        <f t="shared" si="39"/>
        <v>0</v>
      </c>
      <c r="S49" s="185">
        <f t="shared" si="40"/>
        <v>0</v>
      </c>
      <c r="U49" s="122">
        <f>+'Service Count Data'!$X$243</f>
        <v>0</v>
      </c>
      <c r="V49" s="656">
        <v>2.2999999999999998</v>
      </c>
      <c r="W49" s="6">
        <f t="shared" si="41"/>
        <v>0</v>
      </c>
      <c r="X49" s="122">
        <f>+'Service Count Data'!$AD$243</f>
        <v>0</v>
      </c>
      <c r="Y49" s="656">
        <v>2.2999999999999998</v>
      </c>
      <c r="Z49" s="6">
        <f t="shared" si="42"/>
        <v>0</v>
      </c>
      <c r="AA49" s="186">
        <f t="shared" si="43"/>
        <v>0</v>
      </c>
      <c r="AB49" s="185">
        <f t="shared" si="44"/>
        <v>0</v>
      </c>
      <c r="AC49" s="122">
        <f t="shared" si="76"/>
        <v>0</v>
      </c>
      <c r="AD49" s="122">
        <f t="shared" si="45"/>
        <v>104</v>
      </c>
      <c r="AE49" s="6">
        <f t="shared" si="46"/>
        <v>296.40000000000003</v>
      </c>
      <c r="AH49" s="122">
        <f t="shared" si="47"/>
        <v>0</v>
      </c>
    </row>
    <row r="50" spans="1:34">
      <c r="A50" t="s">
        <v>410</v>
      </c>
      <c r="C50" s="122">
        <f>+'Service Count Data'!$X$169</f>
        <v>5691</v>
      </c>
      <c r="D50" s="656">
        <v>1.65</v>
      </c>
      <c r="E50" s="6">
        <f t="shared" si="33"/>
        <v>9390.15</v>
      </c>
      <c r="F50" s="122">
        <f>+'Service Count Data'!$AD$169</f>
        <v>0</v>
      </c>
      <c r="G50" s="656">
        <v>1.65</v>
      </c>
      <c r="H50" s="6">
        <f t="shared" si="34"/>
        <v>0</v>
      </c>
      <c r="I50" s="186">
        <f t="shared" si="35"/>
        <v>5691</v>
      </c>
      <c r="J50" s="185">
        <f t="shared" si="36"/>
        <v>9390.15</v>
      </c>
      <c r="L50" s="122">
        <f>+'Service Count Data'!$X$170</f>
        <v>245</v>
      </c>
      <c r="M50" s="656">
        <v>1.3</v>
      </c>
      <c r="N50" s="6">
        <f t="shared" si="37"/>
        <v>318.5</v>
      </c>
      <c r="O50" s="122">
        <f>+'Service Count Data'!$AD$170</f>
        <v>0</v>
      </c>
      <c r="P50" s="656">
        <v>1.3</v>
      </c>
      <c r="Q50" s="6">
        <f t="shared" si="38"/>
        <v>0</v>
      </c>
      <c r="R50" s="186">
        <f t="shared" si="39"/>
        <v>245</v>
      </c>
      <c r="S50" s="185">
        <f t="shared" si="40"/>
        <v>318.5</v>
      </c>
      <c r="U50" s="122">
        <f>+'Service Count Data'!$X$171</f>
        <v>495</v>
      </c>
      <c r="V50" s="656">
        <v>1.3</v>
      </c>
      <c r="W50" s="6">
        <f t="shared" si="41"/>
        <v>643.5</v>
      </c>
      <c r="X50" s="122">
        <f>+'Service Count Data'!$AD$171</f>
        <v>0</v>
      </c>
      <c r="Y50" s="656">
        <v>1.3</v>
      </c>
      <c r="Z50" s="6">
        <f t="shared" si="42"/>
        <v>0</v>
      </c>
      <c r="AA50" s="186">
        <f t="shared" si="43"/>
        <v>495</v>
      </c>
      <c r="AB50" s="185">
        <f t="shared" si="44"/>
        <v>643.5</v>
      </c>
      <c r="AC50" s="122">
        <f t="shared" si="76"/>
        <v>740</v>
      </c>
      <c r="AD50" s="122">
        <f t="shared" si="45"/>
        <v>6431</v>
      </c>
      <c r="AE50" s="6">
        <f t="shared" si="46"/>
        <v>10352.15</v>
      </c>
      <c r="AF50" s="6">
        <f>SUM(AE34:AE50)</f>
        <v>1115060.8499999999</v>
      </c>
      <c r="AH50" s="122">
        <f t="shared" si="47"/>
        <v>740</v>
      </c>
    </row>
    <row r="51" spans="1:34">
      <c r="C51" s="122"/>
      <c r="D51" s="157"/>
      <c r="F51" s="122"/>
      <c r="G51" s="157"/>
      <c r="I51" s="186"/>
      <c r="J51" s="180"/>
      <c r="L51" s="122"/>
      <c r="M51" s="157"/>
      <c r="O51" s="122"/>
      <c r="P51" s="157"/>
      <c r="R51" s="186"/>
      <c r="S51" s="180"/>
      <c r="U51" s="122"/>
      <c r="V51" s="157"/>
      <c r="X51" s="122"/>
      <c r="Y51" s="157"/>
      <c r="AA51" s="186"/>
      <c r="AB51" s="180"/>
      <c r="AC51" s="122">
        <f t="shared" si="76"/>
        <v>0</v>
      </c>
    </row>
    <row r="52" spans="1:34">
      <c r="A52" t="s">
        <v>409</v>
      </c>
      <c r="C52" s="122"/>
      <c r="D52" s="157"/>
      <c r="F52" s="122"/>
      <c r="G52" s="157"/>
      <c r="I52" s="186"/>
      <c r="J52" s="180"/>
      <c r="L52" s="122"/>
      <c r="M52" s="157"/>
      <c r="O52" s="122"/>
      <c r="P52" s="157"/>
      <c r="R52" s="186"/>
      <c r="S52" s="180"/>
      <c r="U52" s="122"/>
      <c r="V52" s="157"/>
      <c r="X52" s="122"/>
      <c r="Y52" s="157"/>
      <c r="AA52" s="186"/>
      <c r="AB52" s="180"/>
      <c r="AC52" s="122">
        <f t="shared" si="76"/>
        <v>0</v>
      </c>
    </row>
    <row r="53" spans="1:34">
      <c r="A53" t="s">
        <v>408</v>
      </c>
      <c r="C53" s="122">
        <f>+'Service Count Data'!$X$214</f>
        <v>58</v>
      </c>
      <c r="D53" s="656">
        <v>114.5</v>
      </c>
      <c r="E53" s="6">
        <f t="shared" ref="E53:E68" si="77">+C53*D53</f>
        <v>6641</v>
      </c>
      <c r="F53" s="122">
        <f>+'Service Count Data'!$AD$214</f>
        <v>0</v>
      </c>
      <c r="G53" s="656">
        <v>114.5</v>
      </c>
      <c r="H53" s="6">
        <f t="shared" ref="H53:H68" si="78">+F53*G53</f>
        <v>0</v>
      </c>
      <c r="I53" s="186">
        <f t="shared" ref="I53:I68" si="79">+C53+F53</f>
        <v>58</v>
      </c>
      <c r="J53" s="185">
        <f t="shared" ref="J53:J68" si="80">+E53+H53</f>
        <v>6641</v>
      </c>
      <c r="L53" s="122">
        <f>+'Service Count Data'!$X$215</f>
        <v>0</v>
      </c>
      <c r="M53" s="656">
        <v>95.05</v>
      </c>
      <c r="N53" s="6">
        <f t="shared" ref="N53:N68" si="81">+L53*M53</f>
        <v>0</v>
      </c>
      <c r="O53" s="122">
        <f>+'Service Count Data'!$AD$215</f>
        <v>0</v>
      </c>
      <c r="P53" s="656">
        <v>95.05</v>
      </c>
      <c r="Q53" s="6">
        <f t="shared" ref="Q53:Q68" si="82">+O53*P53</f>
        <v>0</v>
      </c>
      <c r="R53" s="186">
        <f t="shared" ref="R53:R68" si="83">+L53+O53</f>
        <v>0</v>
      </c>
      <c r="S53" s="185">
        <f t="shared" ref="S53:S68" si="84">+N53+Q53</f>
        <v>0</v>
      </c>
      <c r="U53" s="122">
        <f>+'Service Count Data'!$X$216</f>
        <v>0</v>
      </c>
      <c r="V53" s="656">
        <v>95.05</v>
      </c>
      <c r="W53" s="6">
        <f t="shared" ref="W53:W68" si="85">+U53*V53</f>
        <v>0</v>
      </c>
      <c r="X53" s="122">
        <f>+'Service Count Data'!$AD$216</f>
        <v>0</v>
      </c>
      <c r="Y53" s="656">
        <v>95.05</v>
      </c>
      <c r="Z53" s="6">
        <f t="shared" ref="Z53:Z68" si="86">+X53*Y53</f>
        <v>0</v>
      </c>
      <c r="AA53" s="186">
        <f t="shared" ref="AA53:AA68" si="87">+U53+X53</f>
        <v>0</v>
      </c>
      <c r="AB53" s="185">
        <f t="shared" ref="AB53:AB68" si="88">+W53+Z53</f>
        <v>0</v>
      </c>
      <c r="AC53" s="122">
        <f t="shared" si="76"/>
        <v>0</v>
      </c>
      <c r="AD53" s="122">
        <f t="shared" ref="AD53:AD68" si="89">+I53+R53+AA53</f>
        <v>58</v>
      </c>
      <c r="AE53" s="6">
        <f t="shared" ref="AE53:AE68" si="90">+J53+S53+AB53</f>
        <v>6641</v>
      </c>
      <c r="AH53" s="122">
        <f t="shared" ref="AH53:AH68" si="91">+R53+AA53</f>
        <v>0</v>
      </c>
    </row>
    <row r="54" spans="1:34">
      <c r="A54" t="s">
        <v>407</v>
      </c>
      <c r="C54" s="122">
        <f>+'Service Count Data'!$X$220</f>
        <v>75</v>
      </c>
      <c r="D54" s="656">
        <v>139.5</v>
      </c>
      <c r="E54" s="6">
        <f t="shared" si="77"/>
        <v>10462.5</v>
      </c>
      <c r="F54" s="122">
        <f>+'Service Count Data'!$AD$220</f>
        <v>0</v>
      </c>
      <c r="G54" s="656">
        <v>139.5</v>
      </c>
      <c r="H54" s="6">
        <f t="shared" si="78"/>
        <v>0</v>
      </c>
      <c r="I54" s="186">
        <f t="shared" si="79"/>
        <v>75</v>
      </c>
      <c r="J54" s="185">
        <f t="shared" si="80"/>
        <v>10462.5</v>
      </c>
      <c r="L54" s="122">
        <f>+'Service Count Data'!$X$221</f>
        <v>8</v>
      </c>
      <c r="M54" s="656">
        <v>114.95</v>
      </c>
      <c r="N54" s="6">
        <f t="shared" si="81"/>
        <v>919.6</v>
      </c>
      <c r="O54" s="122">
        <f>+'Service Count Data'!$AD$221</f>
        <v>0</v>
      </c>
      <c r="P54" s="656">
        <v>114.95</v>
      </c>
      <c r="Q54" s="6">
        <f t="shared" si="82"/>
        <v>0</v>
      </c>
      <c r="R54" s="186">
        <f t="shared" si="83"/>
        <v>8</v>
      </c>
      <c r="S54" s="185">
        <f t="shared" si="84"/>
        <v>919.6</v>
      </c>
      <c r="U54" s="122">
        <f>+'Service Count Data'!$X$222</f>
        <v>36</v>
      </c>
      <c r="V54" s="656">
        <v>114.95</v>
      </c>
      <c r="W54" s="6">
        <f t="shared" si="85"/>
        <v>4138.2</v>
      </c>
      <c r="X54" s="122">
        <f>+'Service Count Data'!$AD$222</f>
        <v>0</v>
      </c>
      <c r="Y54" s="656">
        <v>114.95</v>
      </c>
      <c r="Z54" s="6">
        <f t="shared" si="86"/>
        <v>0</v>
      </c>
      <c r="AA54" s="186">
        <f t="shared" si="87"/>
        <v>36</v>
      </c>
      <c r="AB54" s="185">
        <f t="shared" si="88"/>
        <v>4138.2</v>
      </c>
      <c r="AC54" s="122">
        <f t="shared" si="76"/>
        <v>44</v>
      </c>
      <c r="AD54" s="122">
        <f t="shared" si="89"/>
        <v>119</v>
      </c>
      <c r="AE54" s="6">
        <f t="shared" si="90"/>
        <v>15520.3</v>
      </c>
      <c r="AH54" s="122">
        <f t="shared" si="91"/>
        <v>44</v>
      </c>
    </row>
    <row r="55" spans="1:34">
      <c r="A55" t="s">
        <v>406</v>
      </c>
      <c r="C55" s="122">
        <f>+'Service Count Data'!$X$226</f>
        <v>208</v>
      </c>
      <c r="D55" s="656">
        <v>150.5</v>
      </c>
      <c r="E55" s="6">
        <f t="shared" si="77"/>
        <v>31304</v>
      </c>
      <c r="F55" s="122">
        <f>+'Service Count Data'!$AD$226</f>
        <v>0</v>
      </c>
      <c r="G55" s="656">
        <v>150.5</v>
      </c>
      <c r="H55" s="6">
        <f t="shared" si="78"/>
        <v>0</v>
      </c>
      <c r="I55" s="186">
        <f t="shared" si="79"/>
        <v>208</v>
      </c>
      <c r="J55" s="185">
        <f t="shared" si="80"/>
        <v>31304</v>
      </c>
      <c r="L55" s="122">
        <f>+'Service Count Data'!$X$227</f>
        <v>93</v>
      </c>
      <c r="M55" s="656">
        <v>124.95</v>
      </c>
      <c r="N55" s="6">
        <f t="shared" si="81"/>
        <v>11620.35</v>
      </c>
      <c r="O55" s="122">
        <f>+'Service Count Data'!$AD$227</f>
        <v>0</v>
      </c>
      <c r="P55" s="656">
        <v>124.95</v>
      </c>
      <c r="Q55" s="6">
        <f t="shared" si="82"/>
        <v>0</v>
      </c>
      <c r="R55" s="186">
        <f t="shared" si="83"/>
        <v>93</v>
      </c>
      <c r="S55" s="185">
        <f t="shared" si="84"/>
        <v>11620.35</v>
      </c>
      <c r="U55" s="122">
        <f>+'Service Count Data'!$X$228</f>
        <v>512</v>
      </c>
      <c r="V55" s="656">
        <v>124.95</v>
      </c>
      <c r="W55" s="6">
        <f t="shared" si="85"/>
        <v>63974.400000000001</v>
      </c>
      <c r="X55" s="122">
        <f>+'Service Count Data'!$AD$228</f>
        <v>0</v>
      </c>
      <c r="Y55" s="656">
        <v>124.95</v>
      </c>
      <c r="Z55" s="6">
        <f t="shared" si="86"/>
        <v>0</v>
      </c>
      <c r="AA55" s="186">
        <f t="shared" si="87"/>
        <v>512</v>
      </c>
      <c r="AB55" s="185">
        <f t="shared" si="88"/>
        <v>63974.400000000001</v>
      </c>
      <c r="AC55" s="122">
        <f t="shared" si="76"/>
        <v>605</v>
      </c>
      <c r="AD55" s="122">
        <f t="shared" si="89"/>
        <v>813</v>
      </c>
      <c r="AE55" s="6">
        <f t="shared" si="90"/>
        <v>106898.75</v>
      </c>
      <c r="AH55" s="122">
        <f t="shared" si="91"/>
        <v>605</v>
      </c>
    </row>
    <row r="56" spans="1:34">
      <c r="A56" t="s">
        <v>405</v>
      </c>
      <c r="C56" s="122">
        <f>+'Service Count Data'!$X$232</f>
        <v>0</v>
      </c>
      <c r="D56" s="656">
        <v>0</v>
      </c>
      <c r="E56" s="6">
        <f t="shared" si="77"/>
        <v>0</v>
      </c>
      <c r="F56" s="122">
        <f>+'Service Count Data'!$AD$232</f>
        <v>0</v>
      </c>
      <c r="G56" s="656">
        <v>0</v>
      </c>
      <c r="H56" s="6">
        <f t="shared" si="78"/>
        <v>0</v>
      </c>
      <c r="I56" s="186">
        <f t="shared" si="79"/>
        <v>0</v>
      </c>
      <c r="J56" s="185">
        <f t="shared" si="80"/>
        <v>0</v>
      </c>
      <c r="L56" s="122">
        <f>+'Service Count Data'!$X$233</f>
        <v>0</v>
      </c>
      <c r="M56" s="656">
        <v>0</v>
      </c>
      <c r="N56" s="6">
        <f t="shared" si="81"/>
        <v>0</v>
      </c>
      <c r="O56" s="122">
        <f>+'Service Count Data'!$AD$233</f>
        <v>0</v>
      </c>
      <c r="P56" s="656">
        <v>0</v>
      </c>
      <c r="Q56" s="6">
        <f t="shared" si="82"/>
        <v>0</v>
      </c>
      <c r="R56" s="186">
        <f t="shared" si="83"/>
        <v>0</v>
      </c>
      <c r="S56" s="185">
        <f t="shared" si="84"/>
        <v>0</v>
      </c>
      <c r="U56" s="122">
        <f>+'Service Count Data'!$X$234</f>
        <v>0</v>
      </c>
      <c r="V56" s="656">
        <v>0</v>
      </c>
      <c r="W56" s="6">
        <f t="shared" si="85"/>
        <v>0</v>
      </c>
      <c r="X56" s="122">
        <f>+'Service Count Data'!$AD$234</f>
        <v>0</v>
      </c>
      <c r="Y56" s="656">
        <v>0</v>
      </c>
      <c r="Z56" s="6">
        <f t="shared" si="86"/>
        <v>0</v>
      </c>
      <c r="AA56" s="186">
        <f t="shared" si="87"/>
        <v>0</v>
      </c>
      <c r="AB56" s="185">
        <f t="shared" si="88"/>
        <v>0</v>
      </c>
      <c r="AC56" s="122">
        <f t="shared" si="76"/>
        <v>0</v>
      </c>
      <c r="AD56" s="122">
        <f t="shared" si="89"/>
        <v>0</v>
      </c>
      <c r="AE56" s="6">
        <f t="shared" si="90"/>
        <v>0</v>
      </c>
      <c r="AH56" s="122">
        <f t="shared" si="91"/>
        <v>0</v>
      </c>
    </row>
    <row r="57" spans="1:34">
      <c r="A57" t="s">
        <v>404</v>
      </c>
      <c r="C57" s="122">
        <f>+'Service Count Data'!$X$217</f>
        <v>1147</v>
      </c>
      <c r="D57" s="656">
        <v>3.35</v>
      </c>
      <c r="E57" s="6">
        <f t="shared" si="77"/>
        <v>3842.4500000000003</v>
      </c>
      <c r="F57" s="122">
        <f>+'Service Count Data'!$AD$217</f>
        <v>0</v>
      </c>
      <c r="G57" s="656">
        <v>3.35</v>
      </c>
      <c r="H57" s="6">
        <f t="shared" si="78"/>
        <v>0</v>
      </c>
      <c r="I57" s="186">
        <f t="shared" si="79"/>
        <v>1147</v>
      </c>
      <c r="J57" s="185">
        <f t="shared" si="80"/>
        <v>3842.4500000000003</v>
      </c>
      <c r="L57" s="122">
        <f>+'Service Count Data'!$X$218</f>
        <v>0</v>
      </c>
      <c r="M57" s="656">
        <v>3.05</v>
      </c>
      <c r="N57" s="6">
        <f t="shared" si="81"/>
        <v>0</v>
      </c>
      <c r="O57" s="122">
        <f>+'Service Count Data'!$AD$218</f>
        <v>0</v>
      </c>
      <c r="P57" s="656">
        <v>3.05</v>
      </c>
      <c r="Q57" s="6">
        <f t="shared" si="82"/>
        <v>0</v>
      </c>
      <c r="R57" s="186">
        <f t="shared" si="83"/>
        <v>0</v>
      </c>
      <c r="S57" s="185">
        <f t="shared" si="84"/>
        <v>0</v>
      </c>
      <c r="U57" s="122">
        <f>+'Service Count Data'!$X$219</f>
        <v>0</v>
      </c>
      <c r="V57" s="656">
        <v>3.05</v>
      </c>
      <c r="W57" s="6">
        <f t="shared" si="85"/>
        <v>0</v>
      </c>
      <c r="X57" s="122">
        <f>+'Service Count Data'!$AD$219</f>
        <v>0</v>
      </c>
      <c r="Y57" s="656">
        <v>3.05</v>
      </c>
      <c r="Z57" s="6">
        <f t="shared" si="86"/>
        <v>0</v>
      </c>
      <c r="AA57" s="186">
        <f t="shared" si="87"/>
        <v>0</v>
      </c>
      <c r="AB57" s="185">
        <f t="shared" si="88"/>
        <v>0</v>
      </c>
      <c r="AC57" s="122">
        <f t="shared" si="76"/>
        <v>0</v>
      </c>
      <c r="AD57" s="122">
        <f t="shared" si="89"/>
        <v>1147</v>
      </c>
      <c r="AE57" s="6">
        <f t="shared" si="90"/>
        <v>3842.4500000000003</v>
      </c>
      <c r="AH57" s="122">
        <f t="shared" si="91"/>
        <v>0</v>
      </c>
    </row>
    <row r="58" spans="1:34">
      <c r="A58" t="s">
        <v>403</v>
      </c>
      <c r="C58" s="122">
        <f>+'Service Count Data'!$X$223</f>
        <v>2753</v>
      </c>
      <c r="D58" s="656">
        <v>3.85</v>
      </c>
      <c r="E58" s="6">
        <f t="shared" si="77"/>
        <v>10599.050000000001</v>
      </c>
      <c r="F58" s="122">
        <f>+'Service Count Data'!$AD$223</f>
        <v>0</v>
      </c>
      <c r="G58" s="656">
        <v>3.85</v>
      </c>
      <c r="H58" s="6">
        <f t="shared" si="78"/>
        <v>0</v>
      </c>
      <c r="I58" s="186">
        <f t="shared" si="79"/>
        <v>2753</v>
      </c>
      <c r="J58" s="185">
        <f t="shared" si="80"/>
        <v>10599.050000000001</v>
      </c>
      <c r="L58" s="122">
        <f>+'Service Count Data'!$X$224</f>
        <v>486</v>
      </c>
      <c r="M58" s="656">
        <v>3.55</v>
      </c>
      <c r="N58" s="6">
        <f t="shared" si="81"/>
        <v>1725.3</v>
      </c>
      <c r="O58" s="122">
        <f>+'Service Count Data'!$AD$224</f>
        <v>0</v>
      </c>
      <c r="P58" s="656">
        <v>3.55</v>
      </c>
      <c r="Q58" s="6">
        <f t="shared" si="82"/>
        <v>0</v>
      </c>
      <c r="R58" s="186">
        <f t="shared" si="83"/>
        <v>486</v>
      </c>
      <c r="S58" s="185">
        <f t="shared" si="84"/>
        <v>1725.3</v>
      </c>
      <c r="U58" s="122">
        <f>+'Service Count Data'!$X$225</f>
        <v>1165</v>
      </c>
      <c r="V58" s="656">
        <v>3.55</v>
      </c>
      <c r="W58" s="6">
        <f t="shared" si="85"/>
        <v>4135.75</v>
      </c>
      <c r="X58" s="122">
        <f>+'Service Count Data'!$AD$225</f>
        <v>0</v>
      </c>
      <c r="Y58" s="656">
        <v>3.55</v>
      </c>
      <c r="Z58" s="6">
        <f t="shared" si="86"/>
        <v>0</v>
      </c>
      <c r="AA58" s="186">
        <f t="shared" si="87"/>
        <v>1165</v>
      </c>
      <c r="AB58" s="185">
        <f t="shared" si="88"/>
        <v>4135.75</v>
      </c>
      <c r="AC58" s="122">
        <f t="shared" si="76"/>
        <v>1651</v>
      </c>
      <c r="AD58" s="122">
        <f t="shared" si="89"/>
        <v>4404</v>
      </c>
      <c r="AE58" s="6">
        <f t="shared" si="90"/>
        <v>16460.099999999999</v>
      </c>
      <c r="AH58" s="122">
        <f t="shared" si="91"/>
        <v>1651</v>
      </c>
    </row>
    <row r="59" spans="1:34">
      <c r="A59" t="s">
        <v>402</v>
      </c>
      <c r="C59" s="122">
        <f>+'Service Count Data'!$X$229</f>
        <v>3569</v>
      </c>
      <c r="D59" s="656">
        <v>4.5999999999999996</v>
      </c>
      <c r="E59" s="6">
        <f t="shared" si="77"/>
        <v>16417.399999999998</v>
      </c>
      <c r="F59" s="122">
        <f>+'Service Count Data'!$AD$229</f>
        <v>0</v>
      </c>
      <c r="G59" s="656">
        <v>4.5999999999999996</v>
      </c>
      <c r="H59" s="6">
        <f t="shared" si="78"/>
        <v>0</v>
      </c>
      <c r="I59" s="186">
        <f t="shared" si="79"/>
        <v>3569</v>
      </c>
      <c r="J59" s="185">
        <f t="shared" si="80"/>
        <v>16417.399999999998</v>
      </c>
      <c r="L59" s="122">
        <f>+'Service Count Data'!$X$230</f>
        <v>827</v>
      </c>
      <c r="M59" s="656">
        <v>4.2</v>
      </c>
      <c r="N59" s="6">
        <f t="shared" si="81"/>
        <v>3473.4</v>
      </c>
      <c r="O59" s="122">
        <f>+'Service Count Data'!$AD$230</f>
        <v>0</v>
      </c>
      <c r="P59" s="656">
        <v>4.2</v>
      </c>
      <c r="Q59" s="6">
        <f t="shared" si="82"/>
        <v>0</v>
      </c>
      <c r="R59" s="186">
        <f t="shared" si="83"/>
        <v>827</v>
      </c>
      <c r="S59" s="185">
        <f t="shared" si="84"/>
        <v>3473.4</v>
      </c>
      <c r="U59" s="122">
        <f>+'Service Count Data'!$X$231</f>
        <v>3021</v>
      </c>
      <c r="V59" s="656">
        <v>4.2</v>
      </c>
      <c r="W59" s="6">
        <f t="shared" si="85"/>
        <v>12688.2</v>
      </c>
      <c r="X59" s="122">
        <f>+'Service Count Data'!$AD$231</f>
        <v>0</v>
      </c>
      <c r="Y59" s="656">
        <v>4.2</v>
      </c>
      <c r="Z59" s="6">
        <f t="shared" si="86"/>
        <v>0</v>
      </c>
      <c r="AA59" s="186">
        <f t="shared" si="87"/>
        <v>3021</v>
      </c>
      <c r="AB59" s="185">
        <f t="shared" si="88"/>
        <v>12688.2</v>
      </c>
      <c r="AC59" s="122">
        <f t="shared" si="76"/>
        <v>3848</v>
      </c>
      <c r="AD59" s="122">
        <f t="shared" si="89"/>
        <v>7417</v>
      </c>
      <c r="AE59" s="6">
        <f t="shared" si="90"/>
        <v>32579</v>
      </c>
      <c r="AH59" s="122">
        <f t="shared" si="91"/>
        <v>3848</v>
      </c>
    </row>
    <row r="60" spans="1:34">
      <c r="A60" t="s">
        <v>401</v>
      </c>
      <c r="C60" s="122">
        <f>+'Service Count Data'!$X$235</f>
        <v>0</v>
      </c>
      <c r="D60" s="656">
        <v>0</v>
      </c>
      <c r="E60" s="6">
        <f t="shared" si="77"/>
        <v>0</v>
      </c>
      <c r="F60" s="122">
        <f>+'Service Count Data'!$AD$235</f>
        <v>0</v>
      </c>
      <c r="G60" s="656">
        <v>0</v>
      </c>
      <c r="H60" s="6">
        <f t="shared" si="78"/>
        <v>0</v>
      </c>
      <c r="I60" s="186">
        <f t="shared" si="79"/>
        <v>0</v>
      </c>
      <c r="J60" s="185">
        <f t="shared" si="80"/>
        <v>0</v>
      </c>
      <c r="L60" s="122">
        <f>+'Service Count Data'!$X$236</f>
        <v>0</v>
      </c>
      <c r="M60" s="656">
        <v>0</v>
      </c>
      <c r="N60" s="6">
        <f t="shared" si="81"/>
        <v>0</v>
      </c>
      <c r="O60" s="122">
        <f>+'Service Count Data'!$AD$236</f>
        <v>0</v>
      </c>
      <c r="P60" s="656">
        <v>0</v>
      </c>
      <c r="Q60" s="6">
        <f t="shared" si="82"/>
        <v>0</v>
      </c>
      <c r="R60" s="186">
        <f t="shared" si="83"/>
        <v>0</v>
      </c>
      <c r="S60" s="185">
        <f t="shared" si="84"/>
        <v>0</v>
      </c>
      <c r="U60" s="122">
        <f>+'Service Count Data'!$X$237</f>
        <v>0</v>
      </c>
      <c r="V60" s="656">
        <v>0</v>
      </c>
      <c r="W60" s="6">
        <f t="shared" si="85"/>
        <v>0</v>
      </c>
      <c r="X60" s="122">
        <f>+'Service Count Data'!$AD$237</f>
        <v>0</v>
      </c>
      <c r="Y60" s="656">
        <v>0</v>
      </c>
      <c r="Z60" s="6">
        <f t="shared" si="86"/>
        <v>0</v>
      </c>
      <c r="AA60" s="186">
        <f t="shared" si="87"/>
        <v>0</v>
      </c>
      <c r="AB60" s="185">
        <f t="shared" si="88"/>
        <v>0</v>
      </c>
      <c r="AC60" s="122">
        <f t="shared" si="76"/>
        <v>0</v>
      </c>
      <c r="AD60" s="122">
        <f t="shared" si="89"/>
        <v>0</v>
      </c>
      <c r="AE60" s="6">
        <f t="shared" si="90"/>
        <v>0</v>
      </c>
      <c r="AH60" s="122">
        <f t="shared" si="91"/>
        <v>0</v>
      </c>
    </row>
    <row r="61" spans="1:34">
      <c r="A61" t="s">
        <v>400</v>
      </c>
      <c r="C61" s="122">
        <f>+'Service Count Data'!$X$139</f>
        <v>32</v>
      </c>
      <c r="D61" s="656">
        <v>42.75</v>
      </c>
      <c r="E61" s="6">
        <f t="shared" si="77"/>
        <v>1368</v>
      </c>
      <c r="F61" s="122">
        <f>+'Service Count Data'!$AD$139</f>
        <v>0</v>
      </c>
      <c r="G61" s="656">
        <v>42.75</v>
      </c>
      <c r="H61" s="6">
        <f t="shared" si="78"/>
        <v>0</v>
      </c>
      <c r="I61" s="186">
        <f t="shared" si="79"/>
        <v>32</v>
      </c>
      <c r="J61" s="185">
        <f t="shared" si="80"/>
        <v>1368</v>
      </c>
      <c r="L61" s="122">
        <f>+'Service Count Data'!$X$140</f>
        <v>0</v>
      </c>
      <c r="M61" s="656">
        <v>35</v>
      </c>
      <c r="N61" s="6">
        <f t="shared" si="81"/>
        <v>0</v>
      </c>
      <c r="O61" s="122">
        <f>+'Service Count Data'!$AD$140</f>
        <v>0</v>
      </c>
      <c r="P61" s="656">
        <v>35</v>
      </c>
      <c r="Q61" s="6">
        <f t="shared" si="82"/>
        <v>0</v>
      </c>
      <c r="R61" s="186">
        <f t="shared" si="83"/>
        <v>0</v>
      </c>
      <c r="S61" s="185">
        <f t="shared" si="84"/>
        <v>0</v>
      </c>
      <c r="U61" s="122">
        <f>+'Service Count Data'!$X$141</f>
        <v>0</v>
      </c>
      <c r="V61" s="656">
        <v>35</v>
      </c>
      <c r="W61" s="6">
        <f t="shared" si="85"/>
        <v>0</v>
      </c>
      <c r="X61" s="122">
        <f>+'Service Count Data'!$AD$141</f>
        <v>0</v>
      </c>
      <c r="Y61" s="656">
        <v>35</v>
      </c>
      <c r="Z61" s="6">
        <f t="shared" si="86"/>
        <v>0</v>
      </c>
      <c r="AA61" s="186">
        <f t="shared" si="87"/>
        <v>0</v>
      </c>
      <c r="AB61" s="185">
        <f t="shared" si="88"/>
        <v>0</v>
      </c>
      <c r="AC61" s="122">
        <f t="shared" si="76"/>
        <v>0</v>
      </c>
      <c r="AD61" s="122">
        <f t="shared" si="89"/>
        <v>32</v>
      </c>
      <c r="AE61" s="6">
        <f t="shared" si="90"/>
        <v>1368</v>
      </c>
      <c r="AH61" s="122">
        <f t="shared" si="91"/>
        <v>0</v>
      </c>
    </row>
    <row r="62" spans="1:34">
      <c r="A62" t="s">
        <v>399</v>
      </c>
      <c r="C62" s="122">
        <f>+'Service Count Data'!$X$142</f>
        <v>26</v>
      </c>
      <c r="D62" s="656">
        <v>42.75</v>
      </c>
      <c r="E62" s="6">
        <f t="shared" si="77"/>
        <v>1111.5</v>
      </c>
      <c r="F62" s="122">
        <f>+'Service Count Data'!$AD$142</f>
        <v>0</v>
      </c>
      <c r="G62" s="656">
        <v>42.75</v>
      </c>
      <c r="H62" s="6">
        <f t="shared" si="78"/>
        <v>0</v>
      </c>
      <c r="I62" s="186">
        <f t="shared" si="79"/>
        <v>26</v>
      </c>
      <c r="J62" s="185">
        <f t="shared" si="80"/>
        <v>1111.5</v>
      </c>
      <c r="L62" s="122">
        <f>+'Service Count Data'!$X$143</f>
        <v>2</v>
      </c>
      <c r="M62" s="656">
        <v>35</v>
      </c>
      <c r="N62" s="6">
        <f t="shared" si="81"/>
        <v>70</v>
      </c>
      <c r="O62" s="122">
        <f>+'Service Count Data'!$AD$143</f>
        <v>0</v>
      </c>
      <c r="P62" s="656">
        <v>35</v>
      </c>
      <c r="Q62" s="6">
        <f t="shared" si="82"/>
        <v>0</v>
      </c>
      <c r="R62" s="186">
        <f t="shared" si="83"/>
        <v>2</v>
      </c>
      <c r="S62" s="185">
        <f t="shared" si="84"/>
        <v>70</v>
      </c>
      <c r="U62" s="122">
        <f>+'Service Count Data'!$X$144</f>
        <v>5</v>
      </c>
      <c r="V62" s="656">
        <v>35</v>
      </c>
      <c r="W62" s="6">
        <f t="shared" si="85"/>
        <v>175</v>
      </c>
      <c r="X62" s="122">
        <f>+'Service Count Data'!$AD$144</f>
        <v>0</v>
      </c>
      <c r="Y62" s="656">
        <v>35</v>
      </c>
      <c r="Z62" s="6">
        <f t="shared" si="86"/>
        <v>0</v>
      </c>
      <c r="AA62" s="186">
        <f t="shared" si="87"/>
        <v>5</v>
      </c>
      <c r="AB62" s="185">
        <f t="shared" si="88"/>
        <v>175</v>
      </c>
      <c r="AC62" s="122">
        <f t="shared" si="76"/>
        <v>7</v>
      </c>
      <c r="AD62" s="122">
        <f t="shared" si="89"/>
        <v>33</v>
      </c>
      <c r="AE62" s="6">
        <f t="shared" si="90"/>
        <v>1356.5</v>
      </c>
      <c r="AH62" s="122">
        <f t="shared" si="91"/>
        <v>7</v>
      </c>
    </row>
    <row r="63" spans="1:34">
      <c r="A63" t="s">
        <v>398</v>
      </c>
      <c r="C63" s="122">
        <f>+'Service Count Data'!$X$145</f>
        <v>42</v>
      </c>
      <c r="D63" s="656">
        <v>42.75</v>
      </c>
      <c r="E63" s="6">
        <f t="shared" si="77"/>
        <v>1795.5</v>
      </c>
      <c r="F63" s="122">
        <f>+'Service Count Data'!$AD$145</f>
        <v>0</v>
      </c>
      <c r="G63" s="656">
        <v>42.75</v>
      </c>
      <c r="H63" s="6">
        <f t="shared" si="78"/>
        <v>0</v>
      </c>
      <c r="I63" s="186">
        <f t="shared" si="79"/>
        <v>42</v>
      </c>
      <c r="J63" s="185">
        <f t="shared" si="80"/>
        <v>1795.5</v>
      </c>
      <c r="L63" s="122">
        <f>+'Service Count Data'!$X$146</f>
        <v>8</v>
      </c>
      <c r="M63" s="656">
        <v>35</v>
      </c>
      <c r="N63" s="6">
        <f t="shared" si="81"/>
        <v>280</v>
      </c>
      <c r="O63" s="122">
        <f>+'Service Count Data'!$AD$146</f>
        <v>0</v>
      </c>
      <c r="P63" s="656">
        <v>35</v>
      </c>
      <c r="Q63" s="6">
        <f t="shared" si="82"/>
        <v>0</v>
      </c>
      <c r="R63" s="186">
        <f t="shared" si="83"/>
        <v>8</v>
      </c>
      <c r="S63" s="185">
        <f t="shared" si="84"/>
        <v>280</v>
      </c>
      <c r="U63" s="122">
        <f>+'Service Count Data'!$X$147</f>
        <v>3</v>
      </c>
      <c r="V63" s="656">
        <v>35</v>
      </c>
      <c r="W63" s="6">
        <f t="shared" si="85"/>
        <v>105</v>
      </c>
      <c r="X63" s="122">
        <f>+'Service Count Data'!$AD$147</f>
        <v>0</v>
      </c>
      <c r="Y63" s="656">
        <v>35</v>
      </c>
      <c r="Z63" s="6">
        <f t="shared" si="86"/>
        <v>0</v>
      </c>
      <c r="AA63" s="186">
        <f t="shared" si="87"/>
        <v>3</v>
      </c>
      <c r="AB63" s="185">
        <f t="shared" si="88"/>
        <v>105</v>
      </c>
      <c r="AC63" s="122">
        <f t="shared" si="76"/>
        <v>11</v>
      </c>
      <c r="AD63" s="122">
        <f t="shared" si="89"/>
        <v>53</v>
      </c>
      <c r="AE63" s="6">
        <f t="shared" si="90"/>
        <v>2180.5</v>
      </c>
      <c r="AH63" s="122">
        <f t="shared" si="91"/>
        <v>11</v>
      </c>
    </row>
    <row r="64" spans="1:34">
      <c r="A64" t="s">
        <v>397</v>
      </c>
      <c r="C64" s="122">
        <f>+'Service Count Data'!$X$148</f>
        <v>0</v>
      </c>
      <c r="D64" s="656">
        <v>0</v>
      </c>
      <c r="E64" s="6">
        <f t="shared" si="77"/>
        <v>0</v>
      </c>
      <c r="F64" s="122">
        <f>+'Service Count Data'!$AD$148</f>
        <v>0</v>
      </c>
      <c r="G64" s="656">
        <v>0</v>
      </c>
      <c r="H64" s="6">
        <f t="shared" si="78"/>
        <v>0</v>
      </c>
      <c r="I64" s="186">
        <f t="shared" si="79"/>
        <v>0</v>
      </c>
      <c r="J64" s="185">
        <f t="shared" si="80"/>
        <v>0</v>
      </c>
      <c r="L64" s="122">
        <f>+'Service Count Data'!$X$149</f>
        <v>0</v>
      </c>
      <c r="M64" s="656">
        <v>0</v>
      </c>
      <c r="N64" s="6">
        <f t="shared" si="81"/>
        <v>0</v>
      </c>
      <c r="O64" s="122">
        <f>+'Service Count Data'!$AD$149</f>
        <v>0</v>
      </c>
      <c r="P64" s="656">
        <v>0</v>
      </c>
      <c r="Q64" s="6">
        <f t="shared" si="82"/>
        <v>0</v>
      </c>
      <c r="R64" s="186">
        <f t="shared" si="83"/>
        <v>0</v>
      </c>
      <c r="S64" s="185">
        <f t="shared" si="84"/>
        <v>0</v>
      </c>
      <c r="U64" s="122">
        <f>+'Service Count Data'!$X$150</f>
        <v>0</v>
      </c>
      <c r="V64" s="656">
        <v>0</v>
      </c>
      <c r="W64" s="6">
        <f t="shared" si="85"/>
        <v>0</v>
      </c>
      <c r="X64" s="122">
        <f>+'Service Count Data'!$AD$150</f>
        <v>0</v>
      </c>
      <c r="Y64" s="656">
        <v>0</v>
      </c>
      <c r="Z64" s="6">
        <f t="shared" si="86"/>
        <v>0</v>
      </c>
      <c r="AA64" s="186">
        <f t="shared" si="87"/>
        <v>0</v>
      </c>
      <c r="AB64" s="185">
        <f t="shared" si="88"/>
        <v>0</v>
      </c>
      <c r="AC64" s="122">
        <f t="shared" si="76"/>
        <v>0</v>
      </c>
      <c r="AD64" s="122">
        <f t="shared" si="89"/>
        <v>0</v>
      </c>
      <c r="AE64" s="6">
        <f t="shared" si="90"/>
        <v>0</v>
      </c>
      <c r="AH64" s="122">
        <f t="shared" si="91"/>
        <v>0</v>
      </c>
    </row>
    <row r="65" spans="1:34">
      <c r="A65" t="s">
        <v>396</v>
      </c>
      <c r="C65" s="122">
        <f>+'Service Count Data'!$X$175</f>
        <v>255</v>
      </c>
      <c r="D65" s="656">
        <v>2.4500000000000002</v>
      </c>
      <c r="E65" s="6">
        <f t="shared" si="77"/>
        <v>624.75</v>
      </c>
      <c r="F65" s="122">
        <f>+'Service Count Data'!$AD$175</f>
        <v>0</v>
      </c>
      <c r="G65" s="656">
        <v>2.4500000000000002</v>
      </c>
      <c r="H65" s="6">
        <f t="shared" si="78"/>
        <v>0</v>
      </c>
      <c r="I65" s="186">
        <f t="shared" si="79"/>
        <v>255</v>
      </c>
      <c r="J65" s="185">
        <f t="shared" si="80"/>
        <v>624.75</v>
      </c>
      <c r="L65" s="122">
        <f>+'Service Count Data'!$X$176</f>
        <v>3670</v>
      </c>
      <c r="M65" s="656">
        <v>2.2000000000000002</v>
      </c>
      <c r="N65" s="6">
        <f t="shared" si="81"/>
        <v>8074.0000000000009</v>
      </c>
      <c r="O65" s="122">
        <f>+'Service Count Data'!$AD$176</f>
        <v>0</v>
      </c>
      <c r="P65" s="656">
        <v>2.2000000000000002</v>
      </c>
      <c r="Q65" s="6">
        <f t="shared" si="82"/>
        <v>0</v>
      </c>
      <c r="R65" s="186">
        <f t="shared" si="83"/>
        <v>3670</v>
      </c>
      <c r="S65" s="185">
        <f t="shared" si="84"/>
        <v>8074.0000000000009</v>
      </c>
      <c r="U65" s="122">
        <f>+'Service Count Data'!$X$177</f>
        <v>11315</v>
      </c>
      <c r="V65" s="656">
        <v>2.2000000000000002</v>
      </c>
      <c r="W65" s="6">
        <f t="shared" si="85"/>
        <v>24893.000000000004</v>
      </c>
      <c r="X65" s="122">
        <f>+'Service Count Data'!$AD$177</f>
        <v>0</v>
      </c>
      <c r="Y65" s="656">
        <v>2.2000000000000002</v>
      </c>
      <c r="Z65" s="6">
        <f t="shared" si="86"/>
        <v>0</v>
      </c>
      <c r="AA65" s="186">
        <f t="shared" si="87"/>
        <v>11315</v>
      </c>
      <c r="AB65" s="185">
        <f t="shared" si="88"/>
        <v>24893.000000000004</v>
      </c>
      <c r="AC65" s="122">
        <f t="shared" si="76"/>
        <v>14985</v>
      </c>
      <c r="AD65" s="122">
        <f t="shared" si="89"/>
        <v>15240</v>
      </c>
      <c r="AE65" s="6">
        <f t="shared" si="90"/>
        <v>33591.75</v>
      </c>
      <c r="AH65" s="122">
        <f t="shared" si="91"/>
        <v>14985</v>
      </c>
    </row>
    <row r="66" spans="1:34">
      <c r="A66" t="s">
        <v>395</v>
      </c>
      <c r="C66" s="122">
        <f>+'Service Count Data'!$X$211</f>
        <v>27</v>
      </c>
      <c r="D66" s="656">
        <v>30.9</v>
      </c>
      <c r="E66" s="6">
        <f t="shared" si="77"/>
        <v>834.3</v>
      </c>
      <c r="F66" s="122">
        <f>+'Service Count Data'!$AD$211</f>
        <v>0</v>
      </c>
      <c r="G66" s="656">
        <v>30.9</v>
      </c>
      <c r="H66" s="6">
        <f t="shared" si="78"/>
        <v>0</v>
      </c>
      <c r="I66" s="186">
        <f t="shared" si="79"/>
        <v>27</v>
      </c>
      <c r="J66" s="185">
        <f t="shared" si="80"/>
        <v>834.3</v>
      </c>
      <c r="L66" s="122">
        <f>+'Service Count Data'!$X$212</f>
        <v>0</v>
      </c>
      <c r="M66" s="656">
        <v>0</v>
      </c>
      <c r="N66" s="6">
        <f t="shared" si="81"/>
        <v>0</v>
      </c>
      <c r="O66" s="122">
        <f>+'Service Count Data'!$AD$212</f>
        <v>0</v>
      </c>
      <c r="P66" s="656">
        <v>0</v>
      </c>
      <c r="Q66" s="6">
        <f t="shared" si="82"/>
        <v>0</v>
      </c>
      <c r="R66" s="186">
        <f t="shared" si="83"/>
        <v>0</v>
      </c>
      <c r="S66" s="185">
        <f t="shared" si="84"/>
        <v>0</v>
      </c>
      <c r="U66" s="122">
        <f>+'Service Count Data'!$X$213</f>
        <v>0</v>
      </c>
      <c r="V66" s="656">
        <v>0</v>
      </c>
      <c r="W66" s="6">
        <f t="shared" si="85"/>
        <v>0</v>
      </c>
      <c r="X66" s="122">
        <f>+'Service Count Data'!$AD$213</f>
        <v>0</v>
      </c>
      <c r="Y66" s="656">
        <v>0</v>
      </c>
      <c r="Z66" s="6">
        <f t="shared" si="86"/>
        <v>0</v>
      </c>
      <c r="AA66" s="186">
        <f t="shared" si="87"/>
        <v>0</v>
      </c>
      <c r="AB66" s="185">
        <f t="shared" si="88"/>
        <v>0</v>
      </c>
      <c r="AC66" s="122">
        <f t="shared" si="76"/>
        <v>0</v>
      </c>
      <c r="AD66" s="122">
        <f t="shared" si="89"/>
        <v>27</v>
      </c>
      <c r="AE66" s="6">
        <f t="shared" si="90"/>
        <v>834.3</v>
      </c>
      <c r="AF66" s="6"/>
      <c r="AH66" s="122">
        <f t="shared" si="91"/>
        <v>0</v>
      </c>
    </row>
    <row r="67" spans="1:34">
      <c r="A67" t="s">
        <v>394</v>
      </c>
      <c r="C67" s="122">
        <f>+'Service Count Data'!$X$205</f>
        <v>0</v>
      </c>
      <c r="D67" s="656">
        <v>177.5</v>
      </c>
      <c r="E67" s="6">
        <f t="shared" si="77"/>
        <v>0</v>
      </c>
      <c r="F67" s="122">
        <f>+'Service Count Data'!$AD$205</f>
        <v>0</v>
      </c>
      <c r="G67" s="656">
        <v>177.5</v>
      </c>
      <c r="H67" s="6">
        <f t="shared" si="78"/>
        <v>0</v>
      </c>
      <c r="I67" s="186">
        <f t="shared" si="79"/>
        <v>0</v>
      </c>
      <c r="J67" s="185">
        <f t="shared" si="80"/>
        <v>0</v>
      </c>
      <c r="L67" s="122">
        <f>+'Service Count Data'!$X$206</f>
        <v>0</v>
      </c>
      <c r="M67" s="656">
        <v>0</v>
      </c>
      <c r="N67" s="6">
        <f t="shared" si="81"/>
        <v>0</v>
      </c>
      <c r="O67" s="122">
        <f>+'Service Count Data'!$AD$206</f>
        <v>0</v>
      </c>
      <c r="P67" s="656">
        <v>0</v>
      </c>
      <c r="Q67" s="6">
        <f t="shared" si="82"/>
        <v>0</v>
      </c>
      <c r="R67" s="186">
        <f t="shared" si="83"/>
        <v>0</v>
      </c>
      <c r="S67" s="185">
        <f t="shared" si="84"/>
        <v>0</v>
      </c>
      <c r="U67" s="122">
        <f>+'Service Count Data'!$X$207</f>
        <v>0</v>
      </c>
      <c r="V67" s="656">
        <v>0</v>
      </c>
      <c r="W67" s="6">
        <f t="shared" si="85"/>
        <v>0</v>
      </c>
      <c r="X67" s="122">
        <f>+'Service Count Data'!$AD$207</f>
        <v>0</v>
      </c>
      <c r="Y67" s="656">
        <v>0</v>
      </c>
      <c r="Z67" s="6">
        <f t="shared" si="86"/>
        <v>0</v>
      </c>
      <c r="AA67" s="186">
        <f t="shared" si="87"/>
        <v>0</v>
      </c>
      <c r="AB67" s="185">
        <f t="shared" si="88"/>
        <v>0</v>
      </c>
      <c r="AC67" s="122">
        <f t="shared" si="76"/>
        <v>0</v>
      </c>
      <c r="AD67" s="122">
        <f t="shared" si="89"/>
        <v>0</v>
      </c>
      <c r="AE67" s="6">
        <f t="shared" si="90"/>
        <v>0</v>
      </c>
      <c r="AF67" s="6"/>
      <c r="AH67" s="122">
        <f t="shared" si="91"/>
        <v>0</v>
      </c>
    </row>
    <row r="68" spans="1:34">
      <c r="A68" t="s">
        <v>393</v>
      </c>
      <c r="C68" s="122">
        <f>+'Service Count Data'!$X$208</f>
        <v>90</v>
      </c>
      <c r="D68" s="656">
        <v>215.5</v>
      </c>
      <c r="E68" s="6">
        <f t="shared" si="77"/>
        <v>19395</v>
      </c>
      <c r="F68" s="122">
        <f>+'Service Count Data'!$AD$208</f>
        <v>0</v>
      </c>
      <c r="G68" s="656">
        <v>215.5</v>
      </c>
      <c r="H68" s="6">
        <f t="shared" si="78"/>
        <v>0</v>
      </c>
      <c r="I68" s="186">
        <f t="shared" si="79"/>
        <v>90</v>
      </c>
      <c r="J68" s="185">
        <f t="shared" si="80"/>
        <v>19395</v>
      </c>
      <c r="L68" s="122">
        <f>+'Service Count Data'!$X$209</f>
        <v>0</v>
      </c>
      <c r="M68" s="656">
        <v>0</v>
      </c>
      <c r="N68" s="6">
        <f t="shared" si="81"/>
        <v>0</v>
      </c>
      <c r="O68" s="122">
        <f>+'Service Count Data'!$AD$209</f>
        <v>0</v>
      </c>
      <c r="P68" s="656">
        <v>0</v>
      </c>
      <c r="Q68" s="6">
        <f t="shared" si="82"/>
        <v>0</v>
      </c>
      <c r="R68" s="186">
        <f t="shared" si="83"/>
        <v>0</v>
      </c>
      <c r="S68" s="185">
        <f t="shared" si="84"/>
        <v>0</v>
      </c>
      <c r="U68" s="122">
        <f>+'Service Count Data'!$X$210</f>
        <v>0</v>
      </c>
      <c r="V68" s="656">
        <v>0</v>
      </c>
      <c r="W68" s="6">
        <f t="shared" si="85"/>
        <v>0</v>
      </c>
      <c r="X68" s="122">
        <f>+'Service Count Data'!$AD$210</f>
        <v>0</v>
      </c>
      <c r="Y68" s="656">
        <v>0</v>
      </c>
      <c r="Z68" s="6">
        <f t="shared" si="86"/>
        <v>0</v>
      </c>
      <c r="AA68" s="186">
        <f t="shared" si="87"/>
        <v>0</v>
      </c>
      <c r="AB68" s="185">
        <f t="shared" si="88"/>
        <v>0</v>
      </c>
      <c r="AC68" s="122">
        <f t="shared" si="76"/>
        <v>0</v>
      </c>
      <c r="AD68" s="122">
        <f t="shared" si="89"/>
        <v>90</v>
      </c>
      <c r="AE68" s="6">
        <f t="shared" si="90"/>
        <v>19395</v>
      </c>
      <c r="AF68" s="6">
        <f>SUM(AE53:AE68)</f>
        <v>240667.65</v>
      </c>
      <c r="AH68" s="122">
        <f t="shared" si="91"/>
        <v>0</v>
      </c>
    </row>
    <row r="69" spans="1:34">
      <c r="C69" s="122"/>
      <c r="D69" s="157"/>
      <c r="F69" s="122"/>
      <c r="G69" s="157"/>
      <c r="I69" s="186"/>
      <c r="J69" s="180"/>
      <c r="L69" s="122"/>
      <c r="M69" s="655"/>
      <c r="O69" s="122"/>
      <c r="P69" s="655"/>
      <c r="R69" s="186"/>
      <c r="S69" s="180"/>
      <c r="U69" s="122"/>
      <c r="V69" s="655"/>
      <c r="X69" s="122"/>
      <c r="Y69" s="655"/>
      <c r="AA69" s="186"/>
      <c r="AB69" s="180"/>
      <c r="AC69" s="122">
        <f t="shared" si="76"/>
        <v>0</v>
      </c>
    </row>
    <row r="70" spans="1:34">
      <c r="A70" t="s">
        <v>392</v>
      </c>
      <c r="C70" s="122"/>
      <c r="D70" s="157"/>
      <c r="F70" s="122"/>
      <c r="G70" s="157"/>
      <c r="I70" s="186"/>
      <c r="J70" s="180"/>
      <c r="L70" s="122"/>
      <c r="M70" s="655"/>
      <c r="O70" s="122"/>
      <c r="P70" s="655"/>
      <c r="R70" s="186"/>
      <c r="S70" s="180"/>
      <c r="U70" s="122"/>
      <c r="V70" s="655"/>
      <c r="X70" s="122"/>
      <c r="Y70" s="655"/>
      <c r="AA70" s="186"/>
      <c r="AB70" s="180"/>
      <c r="AC70" s="122">
        <f t="shared" si="76"/>
        <v>0</v>
      </c>
    </row>
    <row r="71" spans="1:34">
      <c r="A71" t="s">
        <v>391</v>
      </c>
      <c r="C71" s="122"/>
      <c r="D71" s="157"/>
      <c r="F71" s="122"/>
      <c r="G71" s="157"/>
      <c r="I71" s="186"/>
      <c r="J71" s="180"/>
      <c r="L71" s="122"/>
      <c r="M71" s="655"/>
      <c r="O71" s="122"/>
      <c r="P71" s="655"/>
      <c r="R71" s="186"/>
      <c r="S71" s="180"/>
      <c r="U71" s="122"/>
      <c r="V71" s="655"/>
      <c r="X71" s="122"/>
      <c r="Y71" s="655"/>
      <c r="AA71" s="186"/>
      <c r="AB71" s="180"/>
      <c r="AC71" s="122">
        <f t="shared" si="76"/>
        <v>0</v>
      </c>
    </row>
    <row r="72" spans="1:34">
      <c r="A72" t="s">
        <v>390</v>
      </c>
      <c r="C72" s="122">
        <f>+'Service Count Data'!$X$160+'Service Count Data'!$X$163</f>
        <v>29.5</v>
      </c>
      <c r="D72" s="656">
        <v>138</v>
      </c>
      <c r="E72" s="6">
        <f>+C72*D72</f>
        <v>4071</v>
      </c>
      <c r="F72" s="122">
        <f>+'Service Count Data'!$AD$160+'Service Count Data'!$AD$163</f>
        <v>0</v>
      </c>
      <c r="G72" s="656">
        <v>138</v>
      </c>
      <c r="H72" s="6">
        <f>+F72*G72</f>
        <v>0</v>
      </c>
      <c r="I72" s="186">
        <f>+C72+F72</f>
        <v>29.5</v>
      </c>
      <c r="J72" s="185">
        <f>+E72+H72</f>
        <v>4071</v>
      </c>
      <c r="L72" s="122">
        <f>+'Service Count Data'!$X$161+'Service Count Data'!$X$164</f>
        <v>1</v>
      </c>
      <c r="M72" s="656">
        <v>129</v>
      </c>
      <c r="N72" s="6">
        <f>+L72*M72</f>
        <v>129</v>
      </c>
      <c r="O72" s="122">
        <f>+'Service Count Data'!$AD$161+'Service Count Data'!$AD$164</f>
        <v>0</v>
      </c>
      <c r="P72" s="656">
        <v>129</v>
      </c>
      <c r="Q72" s="6">
        <f>+O72*P72</f>
        <v>0</v>
      </c>
      <c r="R72" s="186">
        <f>+L72+O72</f>
        <v>1</v>
      </c>
      <c r="S72" s="185">
        <f>+N72+Q72</f>
        <v>129</v>
      </c>
      <c r="U72" s="122">
        <f>+'Service Count Data'!$X$162+'Service Count Data'!$X$165</f>
        <v>0</v>
      </c>
      <c r="V72" s="656">
        <v>129</v>
      </c>
      <c r="W72" s="6">
        <f>+U72*V72</f>
        <v>0</v>
      </c>
      <c r="X72" s="122">
        <f>+'Service Count Data'!$AD$162+'Service Count Data'!$AD$165</f>
        <v>0</v>
      </c>
      <c r="Y72" s="656">
        <v>129</v>
      </c>
      <c r="Z72" s="6">
        <f>+X72*Y72</f>
        <v>0</v>
      </c>
      <c r="AA72" s="186">
        <f>+U72+X72</f>
        <v>0</v>
      </c>
      <c r="AB72" s="185">
        <f>+W72+Z72</f>
        <v>0</v>
      </c>
      <c r="AC72" s="122">
        <f t="shared" si="76"/>
        <v>1</v>
      </c>
      <c r="AD72" s="122">
        <f>+I72+R72+AA72</f>
        <v>30.5</v>
      </c>
      <c r="AE72" s="6">
        <f>+J72+S72+AB72</f>
        <v>4200</v>
      </c>
      <c r="AH72" s="122">
        <f>+R72+AA72</f>
        <v>1</v>
      </c>
    </row>
    <row r="73" spans="1:34" ht="13.5" thickBot="1">
      <c r="A73" t="s">
        <v>389</v>
      </c>
      <c r="C73" s="174">
        <f>+'Service Count Data'!$X$160+'Service Count Data'!$X$166</f>
        <v>0.5</v>
      </c>
      <c r="D73" s="656">
        <v>35</v>
      </c>
      <c r="E73" s="7">
        <f>+C73*D73</f>
        <v>17.5</v>
      </c>
      <c r="F73" s="174">
        <f>+'Service Count Data'!$AD$160+'Service Count Data'!$AD$166</f>
        <v>0</v>
      </c>
      <c r="G73" s="656">
        <v>35</v>
      </c>
      <c r="H73" s="182">
        <f>+F73*G73</f>
        <v>0</v>
      </c>
      <c r="I73" s="183">
        <f>+C73+F73</f>
        <v>0.5</v>
      </c>
      <c r="J73" s="182">
        <f>+E73+H73</f>
        <v>17.5</v>
      </c>
      <c r="L73" s="174">
        <f>+'Service Count Data'!$X$161+'Service Count Data'!$X$167</f>
        <v>0</v>
      </c>
      <c r="M73" s="656">
        <v>32</v>
      </c>
      <c r="N73" s="7">
        <f>+L73*M73</f>
        <v>0</v>
      </c>
      <c r="O73" s="174">
        <f>+'Service Count Data'!$AD$161+'Service Count Data'!$AD$167</f>
        <v>0</v>
      </c>
      <c r="P73" s="656">
        <v>32</v>
      </c>
      <c r="Q73" s="7">
        <f>+O73*P73</f>
        <v>0</v>
      </c>
      <c r="R73" s="183">
        <f>+L73+O73</f>
        <v>0</v>
      </c>
      <c r="S73" s="182">
        <f>+N73+Q73</f>
        <v>0</v>
      </c>
      <c r="U73" s="174">
        <f>+'Service Count Data'!$X$162+'Service Count Data'!$X$168</f>
        <v>0</v>
      </c>
      <c r="V73" s="656">
        <v>32</v>
      </c>
      <c r="W73" s="7">
        <f>+U73*V73</f>
        <v>0</v>
      </c>
      <c r="X73" s="174">
        <f>+'Service Count Data'!$AD$162+'Service Count Data'!$AD$168</f>
        <v>0</v>
      </c>
      <c r="Y73" s="656">
        <v>32</v>
      </c>
      <c r="Z73" s="7">
        <f>+X73*Y73</f>
        <v>0</v>
      </c>
      <c r="AA73" s="183">
        <f>+U73+X73</f>
        <v>0</v>
      </c>
      <c r="AB73" s="182">
        <f>+W73+Z73</f>
        <v>0</v>
      </c>
      <c r="AC73" s="122">
        <f t="shared" si="76"/>
        <v>0</v>
      </c>
      <c r="AD73" s="122">
        <f>+I73+R73+AA73</f>
        <v>0.5</v>
      </c>
      <c r="AE73" s="7">
        <f>+J73+S73+AB73</f>
        <v>17.5</v>
      </c>
      <c r="AF73" s="7">
        <f>SUM(AE72:AE73)</f>
        <v>4217.5</v>
      </c>
      <c r="AH73" s="122">
        <f>+R73+AA73</f>
        <v>0</v>
      </c>
    </row>
    <row r="74" spans="1:34">
      <c r="C74" s="122"/>
      <c r="D74" s="56"/>
      <c r="F74" s="122"/>
      <c r="G74" s="56"/>
      <c r="I74" s="190"/>
      <c r="J74" s="134"/>
      <c r="L74" s="122"/>
      <c r="M74" s="56"/>
      <c r="O74" s="122"/>
      <c r="P74" s="56"/>
      <c r="R74" s="190"/>
      <c r="S74" s="134"/>
      <c r="U74" s="122"/>
      <c r="V74" s="56"/>
      <c r="X74" s="122"/>
      <c r="Y74" s="56"/>
      <c r="AA74" s="190"/>
      <c r="AB74" s="134"/>
      <c r="AC74" s="18"/>
    </row>
    <row r="75" spans="1:34">
      <c r="C75" s="122">
        <f>SUM(C10:C73)</f>
        <v>70946.2</v>
      </c>
      <c r="D75" s="56"/>
      <c r="E75" s="63">
        <f>SUM(E10:E73)</f>
        <v>1668076.8349999997</v>
      </c>
      <c r="F75" s="122">
        <f>SUM(F10:F73)</f>
        <v>0</v>
      </c>
      <c r="G75" s="56"/>
      <c r="H75" s="63">
        <f>SUM(H10:H73)</f>
        <v>0</v>
      </c>
      <c r="I75" s="186">
        <f>SUM(I10:I73)</f>
        <v>70946.2</v>
      </c>
      <c r="J75" s="189">
        <f>SUM(J10:J73)</f>
        <v>1668076.8349999997</v>
      </c>
      <c r="L75" s="122">
        <f>SUM(L10:L73)</f>
        <v>10062.15</v>
      </c>
      <c r="M75" s="56"/>
      <c r="N75" s="63">
        <f>SUM(N10:N73)</f>
        <v>141798.30000000002</v>
      </c>
      <c r="O75" s="122">
        <f>SUM(O10:O73)</f>
        <v>0</v>
      </c>
      <c r="P75" s="56"/>
      <c r="Q75" s="63">
        <f>SUM(Q10:Q73)</f>
        <v>0</v>
      </c>
      <c r="R75" s="186">
        <f>SUM(R10:R73)</f>
        <v>10062.15</v>
      </c>
      <c r="S75" s="189">
        <f>SUM(S10:S73)</f>
        <v>141798.30000000002</v>
      </c>
      <c r="U75" s="122">
        <f>SUM(U10:U73)</f>
        <v>26927.033833718244</v>
      </c>
      <c r="V75" s="56"/>
      <c r="W75" s="63">
        <f>SUM(W10:W73)</f>
        <v>446637.57365473447</v>
      </c>
      <c r="X75" s="122">
        <f>SUM(X10:X73)</f>
        <v>0</v>
      </c>
      <c r="Y75" s="56"/>
      <c r="Z75" s="63">
        <f>SUM(Z10:Z73)</f>
        <v>0</v>
      </c>
      <c r="AA75" s="186">
        <f>SUM(AA10:AA73)</f>
        <v>26927.033833718244</v>
      </c>
      <c r="AB75" s="189">
        <f>SUM(AB10:AB73)</f>
        <v>446637.57365473447</v>
      </c>
      <c r="AC75" s="107">
        <f>AA75+R75+I75</f>
        <v>107935.38383371824</v>
      </c>
      <c r="AE75" s="63">
        <f>SUM(AE10:AE73)</f>
        <v>2256512.7086547348</v>
      </c>
    </row>
    <row r="76" spans="1:34">
      <c r="C76" s="122"/>
      <c r="D76" s="56"/>
      <c r="F76" s="122"/>
      <c r="G76" s="56"/>
      <c r="I76" s="179">
        <f>I75/AC75</f>
        <v>0.65730252193569272</v>
      </c>
      <c r="J76" s="180"/>
      <c r="L76" s="122"/>
      <c r="M76" s="56"/>
      <c r="O76" s="122"/>
      <c r="P76" s="56"/>
      <c r="R76" s="179">
        <f>R75/AC75</f>
        <v>9.3223831172004001E-2</v>
      </c>
      <c r="S76" s="180"/>
      <c r="U76" s="122"/>
      <c r="V76" s="56"/>
      <c r="X76" s="122"/>
      <c r="Y76" s="56"/>
      <c r="AA76" s="179">
        <f>AA75/AC75</f>
        <v>0.24947364689230328</v>
      </c>
      <c r="AB76" s="180"/>
      <c r="AC76" s="107"/>
    </row>
    <row r="77" spans="1:34">
      <c r="D77" s="56"/>
      <c r="E77" s="10"/>
      <c r="G77" s="56"/>
      <c r="H77" s="10"/>
      <c r="I77" s="181"/>
      <c r="J77" s="187"/>
      <c r="K77" s="10"/>
      <c r="M77" s="56"/>
      <c r="N77" s="10"/>
      <c r="P77" s="56"/>
      <c r="Q77" s="10"/>
      <c r="R77" s="181"/>
      <c r="S77" s="187"/>
      <c r="T77" s="10"/>
      <c r="V77" s="56"/>
      <c r="W77" s="10"/>
      <c r="Y77" s="56"/>
      <c r="Z77" s="10"/>
      <c r="AA77" s="181"/>
      <c r="AB77" s="187"/>
      <c r="AC77" s="107"/>
      <c r="AD77" s="10" t="s">
        <v>520</v>
      </c>
      <c r="AE77" s="10"/>
      <c r="AF77" s="188">
        <f>SUM(AF31:AF73)</f>
        <v>2256512.7086547343</v>
      </c>
    </row>
    <row r="78" spans="1:34">
      <c r="D78" s="56"/>
      <c r="E78" s="10"/>
      <c r="G78" s="56"/>
      <c r="H78" s="10" t="s">
        <v>1158</v>
      </c>
      <c r="I78" s="186">
        <f>SUM(I10:I24)+SUM(I34:I42)</f>
        <v>53766.95</v>
      </c>
      <c r="J78" s="187"/>
      <c r="K78" s="10"/>
      <c r="M78" s="56"/>
      <c r="N78" s="10"/>
      <c r="P78" s="56"/>
      <c r="Q78" s="10"/>
      <c r="R78" s="186">
        <f>SUM(R10:R24)+SUM(R34:R42)</f>
        <v>4483.1499999999996</v>
      </c>
      <c r="S78" s="187"/>
      <c r="T78" s="10"/>
      <c r="V78" s="56"/>
      <c r="W78" s="10"/>
      <c r="Y78" s="56"/>
      <c r="Z78" s="10"/>
      <c r="AA78" s="186">
        <f>SUM(AA10:AA24)+SUM(AA34:AA42)</f>
        <v>9010.0338337182438</v>
      </c>
      <c r="AB78" s="187"/>
      <c r="AC78" s="107">
        <f>I78+R78+AA78</f>
        <v>67260.133833718239</v>
      </c>
      <c r="AD78" t="s">
        <v>527</v>
      </c>
      <c r="AF78" s="6">
        <f>'Service Count Data'!R157</f>
        <v>5792.73</v>
      </c>
    </row>
    <row r="79" spans="1:34">
      <c r="D79" s="56"/>
      <c r="E79" s="10"/>
      <c r="G79" s="56"/>
      <c r="H79" s="10"/>
      <c r="I79" s="430">
        <f>I78/AC78</f>
        <v>0.79938809121200471</v>
      </c>
      <c r="J79" s="187"/>
      <c r="K79" s="10"/>
      <c r="M79" s="56"/>
      <c r="N79" s="10"/>
      <c r="P79" s="56"/>
      <c r="Q79" s="10"/>
      <c r="R79" s="430">
        <f>R78/AC78</f>
        <v>6.6653896512952629E-2</v>
      </c>
      <c r="S79" s="187"/>
      <c r="T79" s="10"/>
      <c r="V79" s="56"/>
      <c r="W79" s="10"/>
      <c r="Y79" s="56"/>
      <c r="Z79" s="10"/>
      <c r="AA79" s="430">
        <f>AA78/AC78</f>
        <v>0.13395801227504273</v>
      </c>
      <c r="AB79" s="187"/>
      <c r="AC79" s="10"/>
      <c r="AD79" t="s">
        <v>526</v>
      </c>
      <c r="AF79" s="6">
        <v>-6324.18</v>
      </c>
    </row>
    <row r="80" spans="1:34">
      <c r="D80" s="56"/>
      <c r="E80" s="10"/>
      <c r="G80" s="56"/>
      <c r="H80" s="10"/>
      <c r="I80" s="181"/>
      <c r="J80" s="187"/>
      <c r="K80" s="10"/>
      <c r="M80" s="56"/>
      <c r="N80" s="10"/>
      <c r="P80" s="56"/>
      <c r="Q80" s="10"/>
      <c r="R80" s="181"/>
      <c r="S80" s="187"/>
      <c r="T80" s="10"/>
      <c r="V80" s="56"/>
      <c r="W80" s="10"/>
      <c r="Y80" s="56"/>
      <c r="Z80" s="10"/>
      <c r="AA80" s="181"/>
      <c r="AB80" s="187"/>
      <c r="AC80" s="10"/>
      <c r="AD80" t="s">
        <v>525</v>
      </c>
      <c r="AF80" s="6">
        <v>0</v>
      </c>
    </row>
    <row r="81" spans="1:34">
      <c r="D81" s="56"/>
      <c r="G81" s="56"/>
      <c r="I81" s="181"/>
      <c r="J81" s="180"/>
      <c r="M81" s="56"/>
      <c r="P81" s="56"/>
      <c r="R81" s="181"/>
      <c r="S81" s="180"/>
      <c r="V81" s="56"/>
      <c r="Y81" s="56"/>
      <c r="AA81" s="181"/>
      <c r="AB81" s="180"/>
    </row>
    <row r="82" spans="1:34">
      <c r="D82" s="56"/>
      <c r="G82" s="56"/>
      <c r="I82" s="181"/>
      <c r="J82" s="180"/>
      <c r="M82" s="56"/>
      <c r="P82" s="56"/>
      <c r="R82" s="181"/>
      <c r="S82" s="180"/>
      <c r="V82" s="56"/>
      <c r="Y82" s="56"/>
      <c r="AA82" s="181"/>
      <c r="AB82" s="180"/>
      <c r="AC82" t="s">
        <v>84</v>
      </c>
      <c r="AD82">
        <v>3100</v>
      </c>
      <c r="AE82" s="6">
        <f>'Results of Operations Staff '!$C$11</f>
        <v>2021399.1700000002</v>
      </c>
    </row>
    <row r="83" spans="1:34">
      <c r="I83" s="179">
        <f>+I75-I57-I58-I59-I60-I65</f>
        <v>63222.2</v>
      </c>
      <c r="J83" s="180"/>
      <c r="O83" s="82">
        <f>+O75-O57-O58-O59-O60-O65</f>
        <v>0</v>
      </c>
      <c r="R83" s="181"/>
      <c r="S83" s="180"/>
      <c r="X83" s="82">
        <f>+X75-X57-X58-X59-X60-X65</f>
        <v>0</v>
      </c>
      <c r="AA83" s="181"/>
      <c r="AB83" s="180"/>
      <c r="AD83">
        <v>3300</v>
      </c>
      <c r="AE83" s="6">
        <f>'Results of Operations Staff '!$C$14</f>
        <v>241108.40100000001</v>
      </c>
    </row>
    <row r="84" spans="1:34">
      <c r="I84" s="181"/>
      <c r="J84" s="180"/>
      <c r="R84" s="181"/>
      <c r="S84" s="180"/>
      <c r="AA84" s="181"/>
      <c r="AB84" s="180"/>
      <c r="AD84">
        <v>3500</v>
      </c>
      <c r="AE84" s="43">
        <f>'Results of Operations Staff '!$C$18</f>
        <v>0</v>
      </c>
      <c r="AF84" s="43">
        <f>+AE82+AE83+AE84</f>
        <v>2262507.571</v>
      </c>
    </row>
    <row r="85" spans="1:34" ht="13.5" thickBot="1">
      <c r="I85" s="181"/>
      <c r="J85" s="180"/>
      <c r="R85" s="181"/>
      <c r="S85" s="180"/>
      <c r="AA85" s="181"/>
      <c r="AB85" s="180"/>
      <c r="AC85" t="s">
        <v>259</v>
      </c>
      <c r="AF85" s="177">
        <f>SUM(AF77:AF80)-AF84</f>
        <v>-6526.3123452658765</v>
      </c>
      <c r="AG85" s="10">
        <f>+AF85/AF84</f>
        <v>-2.8845482900997886E-3</v>
      </c>
    </row>
    <row r="86" spans="1:34" ht="13.5" thickTop="1">
      <c r="I86" s="181"/>
      <c r="J86" s="180"/>
      <c r="R86" s="181"/>
      <c r="S86" s="180"/>
      <c r="AA86" s="181"/>
      <c r="AB86" s="180"/>
    </row>
    <row r="87" spans="1:34">
      <c r="I87" s="181"/>
      <c r="J87" s="180"/>
      <c r="R87" s="181"/>
      <c r="S87" s="180"/>
      <c r="AA87" s="181"/>
      <c r="AB87" s="180"/>
    </row>
    <row r="88" spans="1:34">
      <c r="A88" t="s">
        <v>524</v>
      </c>
      <c r="C88" s="122"/>
      <c r="D88" s="56"/>
      <c r="F88" s="122"/>
      <c r="G88" s="56"/>
      <c r="I88" s="186"/>
      <c r="J88" s="180"/>
      <c r="L88" s="122"/>
      <c r="M88" s="56"/>
      <c r="O88" s="122"/>
      <c r="P88" s="56"/>
      <c r="R88" s="186"/>
      <c r="S88" s="180"/>
      <c r="U88" s="122"/>
      <c r="V88" s="56"/>
      <c r="X88" s="122"/>
      <c r="Y88" s="56"/>
      <c r="AA88" s="186"/>
      <c r="AB88" s="180"/>
      <c r="AE88" s="2"/>
    </row>
    <row r="89" spans="1:34">
      <c r="A89" t="s">
        <v>523</v>
      </c>
      <c r="C89" s="6">
        <f>+'Service Count Data'!$X$238</f>
        <v>2403</v>
      </c>
      <c r="D89" s="184">
        <v>37.79</v>
      </c>
      <c r="E89" s="6">
        <f>+C89*D89</f>
        <v>90809.37</v>
      </c>
      <c r="F89" s="6">
        <f>+'Service Count Data'!$AD$238</f>
        <v>0</v>
      </c>
      <c r="G89" s="184">
        <v>37.79</v>
      </c>
      <c r="H89" s="6">
        <f>+F89*G89</f>
        <v>0</v>
      </c>
      <c r="I89" s="186">
        <f>+C89+F89</f>
        <v>2403</v>
      </c>
      <c r="J89" s="185">
        <f>+E89+H89</f>
        <v>90809.37</v>
      </c>
      <c r="L89" s="6">
        <f>+'Service Count Data'!$X$239</f>
        <v>0</v>
      </c>
      <c r="M89" s="184">
        <v>37</v>
      </c>
      <c r="N89" s="6">
        <f>+L89*M89</f>
        <v>0</v>
      </c>
      <c r="O89" s="6">
        <f>+'Service Count Data'!$AD$239</f>
        <v>0</v>
      </c>
      <c r="P89" s="184">
        <v>37</v>
      </c>
      <c r="Q89" s="6">
        <f>+O89*P89</f>
        <v>0</v>
      </c>
      <c r="R89" s="186">
        <f>+L89+O89</f>
        <v>0</v>
      </c>
      <c r="S89" s="185">
        <f>+N89+Q89</f>
        <v>0</v>
      </c>
      <c r="U89" s="6">
        <f>+'Service Count Data'!$X$240</f>
        <v>0</v>
      </c>
      <c r="V89" s="184">
        <v>37</v>
      </c>
      <c r="W89" s="6">
        <f>+U89*V89</f>
        <v>0</v>
      </c>
      <c r="X89" s="6">
        <f>+'Service Count Data'!$AD$240</f>
        <v>0</v>
      </c>
      <c r="Y89" s="184">
        <v>37</v>
      </c>
      <c r="Z89" s="6">
        <f>+X89*Y89</f>
        <v>0</v>
      </c>
      <c r="AA89" s="186">
        <f>+U89+X89</f>
        <v>0</v>
      </c>
      <c r="AB89" s="185">
        <f>+W89+Z89</f>
        <v>0</v>
      </c>
      <c r="AC89" s="6"/>
      <c r="AE89" s="6">
        <f>+J89+S89+AB89</f>
        <v>90809.37</v>
      </c>
      <c r="AH89" s="122">
        <f>+R89+AA89</f>
        <v>0</v>
      </c>
    </row>
    <row r="90" spans="1:34">
      <c r="A90" t="s">
        <v>522</v>
      </c>
      <c r="C90" s="6">
        <f>+'Service Count Data'!$X$244</f>
        <v>7197</v>
      </c>
      <c r="D90" s="184">
        <v>23.17</v>
      </c>
      <c r="E90" s="6">
        <f>+C90*D90</f>
        <v>166754.49000000002</v>
      </c>
      <c r="F90" s="6">
        <f>+'Service Count Data'!$AD$244</f>
        <v>0</v>
      </c>
      <c r="G90" s="184">
        <v>23.17</v>
      </c>
      <c r="H90" s="6">
        <f>+F90*G90</f>
        <v>0</v>
      </c>
      <c r="I90" s="186">
        <f>+C90+F90</f>
        <v>7197</v>
      </c>
      <c r="J90" s="185">
        <f>+E90+H90</f>
        <v>166754.49000000002</v>
      </c>
      <c r="L90" s="6">
        <f>+'Service Count Data'!$X$245</f>
        <v>0</v>
      </c>
      <c r="M90" s="184">
        <v>14.8</v>
      </c>
      <c r="N90" s="6">
        <f>+L90*M90</f>
        <v>0</v>
      </c>
      <c r="O90" s="6">
        <f>+'Service Count Data'!$AD$245</f>
        <v>0</v>
      </c>
      <c r="P90" s="184">
        <v>14.8</v>
      </c>
      <c r="Q90" s="6">
        <f>+O90*P90</f>
        <v>0</v>
      </c>
      <c r="R90" s="186">
        <f>+L90+O90</f>
        <v>0</v>
      </c>
      <c r="S90" s="185">
        <f>+N90+Q90</f>
        <v>0</v>
      </c>
      <c r="U90" s="6">
        <f>+'Service Count Data'!$X$246</f>
        <v>0</v>
      </c>
      <c r="V90" s="184">
        <v>14.8</v>
      </c>
      <c r="W90" s="6">
        <f>+U90*V90</f>
        <v>0</v>
      </c>
      <c r="X90" s="6">
        <f>+'Service Count Data'!$AD$246</f>
        <v>0</v>
      </c>
      <c r="Y90" s="184">
        <v>14.8</v>
      </c>
      <c r="Z90" s="6">
        <f>+X90*Y90</f>
        <v>0</v>
      </c>
      <c r="AA90" s="186">
        <f>+U90+X90</f>
        <v>0</v>
      </c>
      <c r="AB90" s="185">
        <f>+W90+Z90</f>
        <v>0</v>
      </c>
      <c r="AC90" s="6"/>
      <c r="AE90" s="6">
        <f>+J90+S90+AB90</f>
        <v>166754.49000000002</v>
      </c>
      <c r="AH90" s="122">
        <f>+R90+AA90</f>
        <v>0</v>
      </c>
    </row>
    <row r="91" spans="1:34">
      <c r="A91" s="643" t="s">
        <v>1338</v>
      </c>
      <c r="C91" s="6">
        <f>+'Service Count Data'!$X$250</f>
        <v>0</v>
      </c>
      <c r="D91" s="184">
        <v>15</v>
      </c>
      <c r="E91" s="6">
        <f>+C91*D91</f>
        <v>0</v>
      </c>
      <c r="F91" s="6">
        <f>+'Service Count Data'!$AD$250</f>
        <v>0</v>
      </c>
      <c r="G91" s="184">
        <v>15</v>
      </c>
      <c r="H91" s="6">
        <f>+F91*G91</f>
        <v>0</v>
      </c>
      <c r="I91" s="186">
        <f>+C91+F91</f>
        <v>0</v>
      </c>
      <c r="J91" s="185">
        <f>+E91+H91</f>
        <v>0</v>
      </c>
      <c r="L91" s="6">
        <f>+'Service Count Data'!$X$251</f>
        <v>0</v>
      </c>
      <c r="M91" s="184">
        <v>0</v>
      </c>
      <c r="N91" s="6">
        <f>+L91*M91</f>
        <v>0</v>
      </c>
      <c r="O91" s="6">
        <f>+'Service Count Data'!$AD$251</f>
        <v>0</v>
      </c>
      <c r="P91" s="184">
        <v>0</v>
      </c>
      <c r="Q91" s="6">
        <f>+O91*P91</f>
        <v>0</v>
      </c>
      <c r="R91" s="186">
        <f>+L91+O91</f>
        <v>0</v>
      </c>
      <c r="S91" s="185">
        <f>+N91+Q91</f>
        <v>0</v>
      </c>
      <c r="U91" s="6">
        <f>+'Service Count Data'!$X$252</f>
        <v>0</v>
      </c>
      <c r="V91" s="184">
        <v>0</v>
      </c>
      <c r="W91" s="6">
        <f>+U91*V91</f>
        <v>0</v>
      </c>
      <c r="X91" s="6">
        <f>+'Service Count Data'!$AD$252</f>
        <v>0</v>
      </c>
      <c r="Y91" s="184">
        <v>0</v>
      </c>
      <c r="Z91" s="6">
        <f>+X91*Y91</f>
        <v>0</v>
      </c>
      <c r="AA91" s="186">
        <f>+U91+X91</f>
        <v>0</v>
      </c>
      <c r="AB91" s="185">
        <f>+W91+Z91</f>
        <v>0</v>
      </c>
      <c r="AC91" s="6"/>
      <c r="AE91" s="6">
        <f>+J91+S91+AB91</f>
        <v>0</v>
      </c>
      <c r="AH91" s="122">
        <f>+R91+AA91</f>
        <v>0</v>
      </c>
    </row>
    <row r="92" spans="1:34" ht="13.5" thickBot="1">
      <c r="A92" t="s">
        <v>521</v>
      </c>
      <c r="C92" s="7">
        <f>+'Service Count Data'!$X$247</f>
        <v>0</v>
      </c>
      <c r="D92" s="184">
        <v>74</v>
      </c>
      <c r="E92" s="7">
        <f>+C92*D92</f>
        <v>0</v>
      </c>
      <c r="F92" s="7">
        <f>+'Service Count Data'!$AD$247</f>
        <v>0</v>
      </c>
      <c r="G92" s="184">
        <v>81.5</v>
      </c>
      <c r="H92" s="7">
        <f>+F92*G92</f>
        <v>0</v>
      </c>
      <c r="I92" s="183">
        <f>+C92+F92</f>
        <v>0</v>
      </c>
      <c r="J92" s="182">
        <f>+E92+H92</f>
        <v>0</v>
      </c>
      <c r="L92" s="7">
        <f>+'Service Count Data'!$X$248</f>
        <v>184.95</v>
      </c>
      <c r="M92" s="184">
        <v>81.5</v>
      </c>
      <c r="N92" s="7">
        <f>+L92*M92</f>
        <v>15073.424999999999</v>
      </c>
      <c r="O92" s="7">
        <f>+'Service Count Data'!$AD$248</f>
        <v>0</v>
      </c>
      <c r="P92" s="184">
        <v>81.5</v>
      </c>
      <c r="Q92" s="7">
        <f>+O92*P92</f>
        <v>0</v>
      </c>
      <c r="R92" s="183">
        <f>+L92+O92</f>
        <v>184.95</v>
      </c>
      <c r="S92" s="182">
        <f>+N92+Q92</f>
        <v>15073.424999999999</v>
      </c>
      <c r="U92" s="7">
        <f>+'Service Count Data'!$X$249</f>
        <v>1147.27</v>
      </c>
      <c r="V92" s="184">
        <v>81.5</v>
      </c>
      <c r="W92" s="7">
        <f>+U92*V92</f>
        <v>93502.505000000005</v>
      </c>
      <c r="X92" s="7">
        <f>+'Service Count Data'!$AD$249</f>
        <v>0</v>
      </c>
      <c r="Y92" s="184">
        <v>81.5</v>
      </c>
      <c r="Z92" s="7">
        <f>+X92*Y92</f>
        <v>0</v>
      </c>
      <c r="AA92" s="183">
        <f>+U92+X92</f>
        <v>1147.27</v>
      </c>
      <c r="AB92" s="182">
        <f>+W92+Z92</f>
        <v>93502.505000000005</v>
      </c>
      <c r="AC92" s="82"/>
      <c r="AE92" s="6">
        <f>+J92+S92+AB92</f>
        <v>108575.93000000001</v>
      </c>
      <c r="AF92" s="7">
        <f>SUM(AE89:AE92)</f>
        <v>366139.79000000004</v>
      </c>
      <c r="AH92" s="122">
        <f>+R92+AA92</f>
        <v>1332.22</v>
      </c>
    </row>
    <row r="93" spans="1:34">
      <c r="D93" s="56"/>
      <c r="G93" s="56"/>
      <c r="I93" s="136"/>
      <c r="J93" s="134"/>
      <c r="M93" s="56"/>
      <c r="P93" s="56"/>
      <c r="R93" s="136"/>
      <c r="S93" s="134"/>
      <c r="V93" s="56"/>
      <c r="Y93" s="56"/>
      <c r="AA93" s="181"/>
      <c r="AB93" s="180"/>
      <c r="AC93" s="18"/>
    </row>
    <row r="94" spans="1:34">
      <c r="C94" s="6">
        <f>SUM(C89:C92)</f>
        <v>9600</v>
      </c>
      <c r="D94" s="56"/>
      <c r="E94" s="56">
        <f>SUM(E89:E92)</f>
        <v>257563.86000000002</v>
      </c>
      <c r="F94" s="6">
        <f>SUM(F89:F92)</f>
        <v>0</v>
      </c>
      <c r="G94" s="56"/>
      <c r="H94" s="56">
        <f>SUM(H89:H92)</f>
        <v>0</v>
      </c>
      <c r="I94" s="179">
        <f>SUM(I89:I92)</f>
        <v>9600</v>
      </c>
      <c r="J94" s="178">
        <f>SUM(J89:J92)</f>
        <v>257563.86000000002</v>
      </c>
      <c r="K94" s="10"/>
      <c r="L94" s="6">
        <f>SUM(L89:L92)</f>
        <v>184.95</v>
      </c>
      <c r="M94" s="56"/>
      <c r="N94" s="56">
        <f>SUM(N89:N92)</f>
        <v>15073.424999999999</v>
      </c>
      <c r="O94" s="6">
        <f>SUM(O89:O92)</f>
        <v>0</v>
      </c>
      <c r="P94" s="56"/>
      <c r="Q94" s="56">
        <f>SUM(Q89:Q92)</f>
        <v>0</v>
      </c>
      <c r="R94" s="179">
        <f>SUM(R89:R92)</f>
        <v>184.95</v>
      </c>
      <c r="S94" s="178">
        <f>SUM(S89:S92)</f>
        <v>15073.424999999999</v>
      </c>
      <c r="T94" s="10"/>
      <c r="U94" s="6">
        <f>SUM(U89:U92)</f>
        <v>1147.27</v>
      </c>
      <c r="V94" s="56"/>
      <c r="W94" s="56">
        <f>SUM(W89:W92)</f>
        <v>93502.505000000005</v>
      </c>
      <c r="X94" s="6">
        <f>SUM(X89:X92)</f>
        <v>0</v>
      </c>
      <c r="Y94" s="56"/>
      <c r="Z94" s="56">
        <f>SUM(Z89:Z92)</f>
        <v>0</v>
      </c>
      <c r="AA94" s="179">
        <f>SUM(AA89:AA92)</f>
        <v>1147.27</v>
      </c>
      <c r="AB94" s="178">
        <f>SUM(AB89:AB92)</f>
        <v>93502.505000000005</v>
      </c>
      <c r="AC94" s="56"/>
      <c r="AD94" s="10" t="s">
        <v>520</v>
      </c>
      <c r="AF94" s="56">
        <f>SUM(AE89:AE92)</f>
        <v>366139.79000000004</v>
      </c>
    </row>
    <row r="96" spans="1:34">
      <c r="AC96" t="s">
        <v>84</v>
      </c>
      <c r="AD96">
        <v>3310</v>
      </c>
      <c r="AF96" s="43">
        <f>'Results of Operations Staff '!$C$15</f>
        <v>364912.47</v>
      </c>
    </row>
    <row r="97" spans="1:34" ht="13.5" thickBot="1">
      <c r="AF97" s="45">
        <f>AF94-AF96</f>
        <v>1227.3200000000652</v>
      </c>
      <c r="AG97" s="10">
        <f>+AF97/AF96</f>
        <v>3.3633271014280913E-3</v>
      </c>
    </row>
    <row r="98" spans="1:34" ht="13.5" thickTop="1"/>
    <row r="99" spans="1:34">
      <c r="A99" s="83" t="s">
        <v>1289</v>
      </c>
      <c r="C99" s="122">
        <f>+'Service Count Data'!$X$61</f>
        <v>3529.15</v>
      </c>
      <c r="D99" s="126">
        <v>21.83</v>
      </c>
      <c r="E99" s="6">
        <f t="shared" ref="E99" si="92">+C99*D99</f>
        <v>77041.344499999992</v>
      </c>
      <c r="F99" s="122">
        <f>+'Service Count Data'!$AD$61</f>
        <v>0</v>
      </c>
      <c r="G99" s="126">
        <v>21.83</v>
      </c>
      <c r="H99" s="6">
        <f t="shared" ref="H99" si="93">+F99*G99</f>
        <v>0</v>
      </c>
      <c r="I99" s="186">
        <f t="shared" ref="I99" si="94">+C99+F99</f>
        <v>3529.15</v>
      </c>
      <c r="J99" s="185">
        <f t="shared" ref="J99" si="95">+E99+H99</f>
        <v>77041.344499999992</v>
      </c>
      <c r="L99" s="122">
        <f>+'Service Count Data'!$X$62</f>
        <v>0</v>
      </c>
      <c r="M99" s="143">
        <v>0</v>
      </c>
      <c r="N99" s="6">
        <f t="shared" ref="N99" si="96">+L99*M99</f>
        <v>0</v>
      </c>
      <c r="O99" s="122">
        <f>+'Service Count Data'!$AD$62</f>
        <v>0</v>
      </c>
      <c r="P99" s="143">
        <v>0</v>
      </c>
      <c r="Q99" s="6">
        <f t="shared" ref="Q99" si="97">+O99*P99</f>
        <v>0</v>
      </c>
      <c r="R99" s="186">
        <f t="shared" ref="R99" si="98">+L99+O99</f>
        <v>0</v>
      </c>
      <c r="S99" s="185">
        <f t="shared" ref="S99" si="99">+N99+Q99</f>
        <v>0</v>
      </c>
      <c r="U99" s="122">
        <f>+'Service Count Data'!$X$63</f>
        <v>0</v>
      </c>
      <c r="V99" s="143">
        <v>0</v>
      </c>
      <c r="W99" s="6">
        <f t="shared" ref="W99" si="100">+U99*V99</f>
        <v>0</v>
      </c>
      <c r="X99" s="122">
        <f>+'Service Count Data'!$AD$63</f>
        <v>0</v>
      </c>
      <c r="Y99" s="143">
        <v>0</v>
      </c>
      <c r="Z99" s="6">
        <f t="shared" ref="Z99" si="101">+X99*Y99</f>
        <v>0</v>
      </c>
      <c r="AA99" s="186">
        <f t="shared" ref="AA99" si="102">+U99+X99</f>
        <v>0</v>
      </c>
      <c r="AB99" s="185">
        <f t="shared" ref="AB99" si="103">+W99+Z99</f>
        <v>0</v>
      </c>
      <c r="AC99" s="122">
        <f t="shared" ref="AC99" si="104">+R99+AA99</f>
        <v>0</v>
      </c>
      <c r="AD99" s="122">
        <f t="shared" ref="AD99" si="105">+I99+R99+AA99</f>
        <v>3529.15</v>
      </c>
      <c r="AE99" s="6">
        <f t="shared" ref="AE99" si="106">+J99+S99+AB99</f>
        <v>77041.344499999992</v>
      </c>
      <c r="AF99" s="6">
        <f>AE99</f>
        <v>77041.344499999992</v>
      </c>
      <c r="AH99" s="122">
        <f t="shared" ref="AH99" si="107">+R99+AA99</f>
        <v>0</v>
      </c>
    </row>
    <row r="101" spans="1:34">
      <c r="A101" s="643" t="s">
        <v>1426</v>
      </c>
      <c r="F101" s="107">
        <v>3495</v>
      </c>
      <c r="I101" s="710">
        <f>F101</f>
        <v>3495</v>
      </c>
      <c r="AC101" t="s">
        <v>84</v>
      </c>
      <c r="AD101">
        <v>3340</v>
      </c>
      <c r="AF101" s="43">
        <f>'Results of Operations Staff '!C16</f>
        <v>77041.150000000009</v>
      </c>
    </row>
    <row r="102" spans="1:34" ht="13.5" thickBot="1">
      <c r="AF102" s="45">
        <f>AF99-AF101</f>
        <v>0.19449999998323619</v>
      </c>
      <c r="AG102" s="10">
        <f>+AF102/AF101</f>
        <v>2.5246248269040141E-6</v>
      </c>
    </row>
    <row r="103" spans="1:34" ht="13.5" thickTop="1">
      <c r="C103" s="654"/>
      <c r="D103" s="195"/>
      <c r="E103" s="195"/>
      <c r="F103" s="195"/>
      <c r="G103" s="195"/>
      <c r="H103" s="195"/>
      <c r="I103" s="195"/>
      <c r="J103" s="195"/>
      <c r="K103" s="195"/>
    </row>
  </sheetData>
  <pageMargins left="0.25" right="0.25" top="0.75" bottom="0.75" header="0.3" footer="0.3"/>
  <pageSetup scale="36" fitToHeight="2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66"/>
  <sheetViews>
    <sheetView topLeftCell="A4" workbookViewId="0">
      <selection activeCell="U42" sqref="U42"/>
    </sheetView>
  </sheetViews>
  <sheetFormatPr defaultRowHeight="12.75"/>
  <cols>
    <col min="1" max="1" width="19.7109375" customWidth="1"/>
    <col min="2" max="2" width="10.140625" bestFit="1" customWidth="1"/>
    <col min="3" max="3" width="10" customWidth="1"/>
    <col min="5" max="5" width="9.5703125" customWidth="1"/>
    <col min="6" max="6" width="10.28515625" customWidth="1"/>
    <col min="7" max="7" width="11.28515625" bestFit="1" customWidth="1"/>
    <col min="8" max="8" width="10" customWidth="1"/>
    <col min="9" max="9" width="9.28515625" customWidth="1"/>
    <col min="10" max="10" width="10.140625" customWidth="1"/>
    <col min="12" max="13" width="10.42578125" customWidth="1"/>
    <col min="14" max="14" width="10.7109375" customWidth="1"/>
    <col min="15" max="15" width="2.85546875" customWidth="1"/>
    <col min="16" max="16" width="9.7109375" customWidth="1"/>
    <col min="17" max="17" width="10" customWidth="1"/>
    <col min="18" max="18" width="11.42578125" customWidth="1"/>
    <col min="22" max="22" width="11" customWidth="1"/>
  </cols>
  <sheetData>
    <row r="1" spans="1:22">
      <c r="A1" t="s">
        <v>0</v>
      </c>
    </row>
    <row r="3" spans="1:22">
      <c r="A3" t="s">
        <v>564</v>
      </c>
      <c r="D3" s="643" t="s">
        <v>1342</v>
      </c>
      <c r="E3" s="647" t="s">
        <v>689</v>
      </c>
      <c r="F3" s="675"/>
      <c r="G3" s="675"/>
    </row>
    <row r="5" spans="1:22">
      <c r="A5" s="642" t="s">
        <v>1435</v>
      </c>
    </row>
    <row r="7" spans="1:22">
      <c r="P7" s="195"/>
      <c r="Q7" s="209">
        <v>12</v>
      </c>
      <c r="R7" s="195"/>
    </row>
    <row r="8" spans="1:22">
      <c r="P8" s="195"/>
      <c r="Q8" s="209" t="s">
        <v>563</v>
      </c>
      <c r="R8" s="195"/>
    </row>
    <row r="9" spans="1:22">
      <c r="B9" s="2" t="s">
        <v>562</v>
      </c>
      <c r="D9" s="2" t="s">
        <v>561</v>
      </c>
      <c r="E9" s="643" t="s">
        <v>1408</v>
      </c>
      <c r="F9" s="16"/>
      <c r="G9" s="726" t="s">
        <v>1446</v>
      </c>
      <c r="H9" s="727"/>
      <c r="I9" s="643" t="s">
        <v>1445</v>
      </c>
      <c r="K9" s="643" t="s">
        <v>1444</v>
      </c>
      <c r="L9" s="2"/>
      <c r="M9" s="16" t="s">
        <v>560</v>
      </c>
      <c r="N9" s="2"/>
      <c r="P9" s="208" t="s">
        <v>97</v>
      </c>
      <c r="Q9" s="195" t="s">
        <v>88</v>
      </c>
      <c r="R9" s="195" t="s">
        <v>88</v>
      </c>
      <c r="U9" s="721" t="s">
        <v>1451</v>
      </c>
      <c r="V9" s="727" t="s">
        <v>339</v>
      </c>
    </row>
    <row r="10" spans="1:22">
      <c r="A10" s="76" t="s">
        <v>559</v>
      </c>
      <c r="B10" s="131" t="s">
        <v>448</v>
      </c>
      <c r="C10" s="131" t="s">
        <v>107</v>
      </c>
      <c r="D10" s="131" t="s">
        <v>558</v>
      </c>
      <c r="E10" s="131" t="s">
        <v>197</v>
      </c>
      <c r="F10" s="131" t="s">
        <v>107</v>
      </c>
      <c r="G10" s="131" t="s">
        <v>197</v>
      </c>
      <c r="H10" s="131" t="s">
        <v>107</v>
      </c>
      <c r="I10" s="131" t="s">
        <v>197</v>
      </c>
      <c r="J10" s="131" t="s">
        <v>107</v>
      </c>
      <c r="K10" s="131" t="s">
        <v>557</v>
      </c>
      <c r="L10" s="131" t="s">
        <v>107</v>
      </c>
      <c r="M10" s="131" t="s">
        <v>197</v>
      </c>
      <c r="N10" s="131" t="s">
        <v>107</v>
      </c>
      <c r="P10" s="207" t="s">
        <v>1410</v>
      </c>
      <c r="Q10" s="207" t="s">
        <v>556</v>
      </c>
      <c r="R10" s="206" t="s">
        <v>107</v>
      </c>
      <c r="U10" s="206" t="s">
        <v>106</v>
      </c>
      <c r="V10" s="206" t="s">
        <v>106</v>
      </c>
    </row>
    <row r="11" spans="1:22">
      <c r="P11" s="195"/>
      <c r="Q11" s="195"/>
      <c r="R11" s="195"/>
    </row>
    <row r="12" spans="1:22">
      <c r="A12" t="s">
        <v>555</v>
      </c>
      <c r="B12" s="204">
        <v>44531</v>
      </c>
      <c r="C12" s="201">
        <v>9500</v>
      </c>
      <c r="D12" t="s">
        <v>548</v>
      </c>
      <c r="E12" s="203">
        <v>480</v>
      </c>
      <c r="F12" s="196">
        <v>51428.57</v>
      </c>
      <c r="G12" s="199">
        <v>480</v>
      </c>
      <c r="H12" s="53">
        <v>28500</v>
      </c>
      <c r="I12" s="199">
        <v>480</v>
      </c>
      <c r="J12" s="53">
        <v>28500</v>
      </c>
      <c r="K12" s="203">
        <v>480</v>
      </c>
      <c r="L12" s="196">
        <v>28500</v>
      </c>
      <c r="M12" s="199">
        <f t="shared" ref="M12:M23" si="0">+E12+G12+I12+K12</f>
        <v>1920</v>
      </c>
      <c r="N12" s="53">
        <f>+F12+H12+J12+L12</f>
        <v>136928.57</v>
      </c>
      <c r="P12" s="201">
        <f t="shared" ref="P12:P26" si="1">+H42</f>
        <v>-6928.570000000007</v>
      </c>
      <c r="Q12" s="196">
        <f>P12</f>
        <v>-6928.570000000007</v>
      </c>
      <c r="R12" s="196">
        <f>+N12+Q12</f>
        <v>130000</v>
      </c>
      <c r="T12" t="s">
        <v>543</v>
      </c>
    </row>
    <row r="13" spans="1:22">
      <c r="A13" s="83" t="s">
        <v>1292</v>
      </c>
      <c r="B13" s="204">
        <v>44409</v>
      </c>
      <c r="C13" s="201">
        <v>20</v>
      </c>
      <c r="D13" s="83" t="s">
        <v>542</v>
      </c>
      <c r="E13" s="203">
        <v>109</v>
      </c>
      <c r="F13" s="196">
        <v>2206.66</v>
      </c>
      <c r="G13" s="199">
        <v>115</v>
      </c>
      <c r="H13" s="53">
        <v>2305</v>
      </c>
      <c r="I13" s="199">
        <v>133</v>
      </c>
      <c r="J13" s="53">
        <v>2665</v>
      </c>
      <c r="K13" s="203">
        <v>90</v>
      </c>
      <c r="L13" s="196">
        <v>1795</v>
      </c>
      <c r="M13" s="199">
        <f t="shared" ref="M13:M14" si="2">+E13+G13+I13+K13</f>
        <v>447</v>
      </c>
      <c r="N13" s="53">
        <f>+F13+H13+J13+L13</f>
        <v>8971.66</v>
      </c>
      <c r="P13" s="201">
        <f t="shared" si="1"/>
        <v>-31.659999999999854</v>
      </c>
      <c r="Q13" s="196">
        <f t="shared" ref="Q13:Q33" si="3">P13</f>
        <v>-31.659999999999854</v>
      </c>
      <c r="R13" s="196">
        <f t="shared" ref="R13:R14" si="4">+N13+Q13</f>
        <v>8940</v>
      </c>
      <c r="T13" t="s">
        <v>543</v>
      </c>
    </row>
    <row r="14" spans="1:22">
      <c r="A14" s="643" t="s">
        <v>1404</v>
      </c>
      <c r="B14" s="204">
        <v>44864</v>
      </c>
      <c r="C14" s="201">
        <v>27</v>
      </c>
      <c r="D14" s="83" t="s">
        <v>542</v>
      </c>
      <c r="E14" s="203"/>
      <c r="F14" s="196"/>
      <c r="G14" s="199">
        <v>457</v>
      </c>
      <c r="H14" s="53">
        <v>9749.25</v>
      </c>
      <c r="I14" s="199">
        <v>629</v>
      </c>
      <c r="J14" s="53">
        <v>16693.75</v>
      </c>
      <c r="K14" s="203">
        <v>528</v>
      </c>
      <c r="L14" s="196">
        <v>14347.25</v>
      </c>
      <c r="M14" s="199">
        <f t="shared" si="2"/>
        <v>1614</v>
      </c>
      <c r="N14" s="53">
        <f>+F14+H14+J14+L14</f>
        <v>40790.25</v>
      </c>
      <c r="P14" s="201">
        <f t="shared" si="1"/>
        <v>2787.75</v>
      </c>
      <c r="Q14" s="196">
        <f t="shared" ref="Q14" si="5">P14</f>
        <v>2787.75</v>
      </c>
      <c r="R14" s="196">
        <f t="shared" si="4"/>
        <v>43578</v>
      </c>
      <c r="T14" t="s">
        <v>541</v>
      </c>
    </row>
    <row r="15" spans="1:22">
      <c r="A15" s="643" t="s">
        <v>1403</v>
      </c>
      <c r="B15" s="204">
        <v>44743</v>
      </c>
      <c r="C15" s="201">
        <v>22</v>
      </c>
      <c r="D15" s="83" t="s">
        <v>542</v>
      </c>
      <c r="E15" s="203">
        <v>554</v>
      </c>
      <c r="F15" s="196">
        <v>11000.16</v>
      </c>
      <c r="G15" s="199">
        <v>535</v>
      </c>
      <c r="H15" s="53">
        <v>10657.75</v>
      </c>
      <c r="I15" s="199">
        <v>615</v>
      </c>
      <c r="J15" s="53">
        <v>12910</v>
      </c>
      <c r="K15" s="203">
        <v>500</v>
      </c>
      <c r="L15" s="196">
        <v>10719.75</v>
      </c>
      <c r="M15" s="199">
        <f t="shared" ref="M15" si="6">+E15+G15+I15+K15</f>
        <v>2204</v>
      </c>
      <c r="N15" s="53">
        <f>+F15+H15+J15+L15</f>
        <v>45287.66</v>
      </c>
      <c r="P15" s="201">
        <f t="shared" si="1"/>
        <v>4564.3399999999965</v>
      </c>
      <c r="Q15" s="196">
        <f t="shared" si="3"/>
        <v>4564.3399999999965</v>
      </c>
      <c r="R15" s="196">
        <f t="shared" ref="R15" si="7">+N15+Q15</f>
        <v>49852</v>
      </c>
      <c r="T15" t="s">
        <v>541</v>
      </c>
    </row>
    <row r="16" spans="1:22">
      <c r="A16" t="s">
        <v>554</v>
      </c>
      <c r="B16" s="204">
        <v>44531</v>
      </c>
      <c r="C16" s="201">
        <v>23.5</v>
      </c>
      <c r="D16" t="s">
        <v>542</v>
      </c>
      <c r="E16" s="203">
        <v>510</v>
      </c>
      <c r="F16" s="196">
        <v>12350.92</v>
      </c>
      <c r="G16" s="199">
        <v>590</v>
      </c>
      <c r="H16" s="53">
        <v>14205.77</v>
      </c>
      <c r="I16" s="199">
        <v>569</v>
      </c>
      <c r="J16" s="53">
        <v>13612.39</v>
      </c>
      <c r="K16" s="203">
        <v>505</v>
      </c>
      <c r="L16" s="196">
        <v>12355.14</v>
      </c>
      <c r="M16" s="199">
        <f t="shared" si="0"/>
        <v>2174</v>
      </c>
      <c r="N16" s="53">
        <f t="shared" ref="N16:N23" si="8">+F16+H16+J16+L16</f>
        <v>52524.22</v>
      </c>
      <c r="P16" s="201">
        <f t="shared" si="1"/>
        <v>-330.72000000000116</v>
      </c>
      <c r="Q16" s="196">
        <f t="shared" si="3"/>
        <v>-330.72000000000116</v>
      </c>
      <c r="R16" s="196">
        <f t="shared" ref="R16:R32" si="9">+N16+Q16</f>
        <v>52193.5</v>
      </c>
      <c r="T16" t="s">
        <v>541</v>
      </c>
    </row>
    <row r="17" spans="1:20">
      <c r="A17" t="s">
        <v>553</v>
      </c>
      <c r="B17" s="204">
        <v>44531</v>
      </c>
      <c r="C17" s="201">
        <v>26</v>
      </c>
      <c r="D17" t="s">
        <v>542</v>
      </c>
      <c r="E17" s="203">
        <v>371</v>
      </c>
      <c r="F17" s="196">
        <v>9823.33</v>
      </c>
      <c r="G17" s="199">
        <v>321</v>
      </c>
      <c r="H17" s="53">
        <v>8346</v>
      </c>
      <c r="I17" s="199">
        <v>406</v>
      </c>
      <c r="J17" s="53">
        <v>10647</v>
      </c>
      <c r="K17" s="203">
        <v>460</v>
      </c>
      <c r="L17" s="196">
        <v>12187.5</v>
      </c>
      <c r="M17" s="199">
        <f t="shared" si="0"/>
        <v>1558</v>
      </c>
      <c r="N17" s="53">
        <f t="shared" si="8"/>
        <v>41003.83</v>
      </c>
      <c r="P17" s="201">
        <f t="shared" si="1"/>
        <v>-495.83000000000175</v>
      </c>
      <c r="Q17" s="196">
        <f t="shared" si="3"/>
        <v>-495.83000000000175</v>
      </c>
      <c r="R17" s="196">
        <f t="shared" si="9"/>
        <v>40508</v>
      </c>
      <c r="T17" t="s">
        <v>541</v>
      </c>
    </row>
    <row r="18" spans="1:20">
      <c r="A18" t="s">
        <v>552</v>
      </c>
      <c r="B18" s="204">
        <v>44256</v>
      </c>
      <c r="C18" s="201">
        <v>50</v>
      </c>
      <c r="D18" t="s">
        <v>542</v>
      </c>
      <c r="E18" s="203">
        <v>1</v>
      </c>
      <c r="F18" s="196">
        <v>542.91</v>
      </c>
      <c r="G18" s="199"/>
      <c r="H18" s="53"/>
      <c r="I18" s="199"/>
      <c r="J18" s="53"/>
      <c r="K18" s="203"/>
      <c r="L18" s="196"/>
      <c r="M18" s="199">
        <f t="shared" si="0"/>
        <v>1</v>
      </c>
      <c r="N18" s="53">
        <f t="shared" si="8"/>
        <v>542.91</v>
      </c>
      <c r="P18" s="201">
        <f t="shared" si="1"/>
        <v>-492.90999999999997</v>
      </c>
      <c r="Q18" s="196">
        <f t="shared" si="3"/>
        <v>-492.90999999999997</v>
      </c>
      <c r="R18" s="196">
        <f t="shared" si="9"/>
        <v>50</v>
      </c>
      <c r="T18" t="s">
        <v>543</v>
      </c>
    </row>
    <row r="19" spans="1:20">
      <c r="A19" s="643" t="s">
        <v>1335</v>
      </c>
      <c r="B19" s="204">
        <v>44713</v>
      </c>
      <c r="C19" s="201">
        <v>27</v>
      </c>
      <c r="D19" t="s">
        <v>542</v>
      </c>
      <c r="E19" s="203">
        <v>36</v>
      </c>
      <c r="F19" s="196">
        <v>1092.1600000000001</v>
      </c>
      <c r="G19" s="199">
        <v>151</v>
      </c>
      <c r="H19" s="53">
        <v>4042</v>
      </c>
      <c r="I19" s="199">
        <v>40</v>
      </c>
      <c r="J19" s="53">
        <v>1080</v>
      </c>
      <c r="K19" s="203">
        <v>19</v>
      </c>
      <c r="L19" s="196">
        <v>513</v>
      </c>
      <c r="M19" s="199">
        <f t="shared" ref="M19" si="10">+E19+G19+I19+K19</f>
        <v>246</v>
      </c>
      <c r="N19" s="53">
        <f>+F19+H19+J19+L19</f>
        <v>6727.16</v>
      </c>
      <c r="P19" s="201">
        <f t="shared" si="1"/>
        <v>-85.159999999999854</v>
      </c>
      <c r="Q19" s="196">
        <f t="shared" si="3"/>
        <v>-85.159999999999854</v>
      </c>
      <c r="R19" s="196">
        <f t="shared" ref="R19" si="11">+N19+Q19</f>
        <v>6642</v>
      </c>
      <c r="T19" t="s">
        <v>541</v>
      </c>
    </row>
    <row r="20" spans="1:20">
      <c r="A20" s="83" t="s">
        <v>551</v>
      </c>
      <c r="B20" s="204">
        <v>44256</v>
      </c>
      <c r="C20" s="201">
        <v>28</v>
      </c>
      <c r="D20" t="s">
        <v>542</v>
      </c>
      <c r="E20" s="203">
        <v>794</v>
      </c>
      <c r="F20" s="196">
        <v>23334.1</v>
      </c>
      <c r="G20" s="199"/>
      <c r="H20" s="53"/>
      <c r="I20" s="199"/>
      <c r="J20" s="53"/>
      <c r="K20" s="203"/>
      <c r="L20" s="196"/>
      <c r="M20" s="199">
        <f t="shared" si="0"/>
        <v>794</v>
      </c>
      <c r="N20" s="53">
        <f>+F20+H20+J20+L20</f>
        <v>23334.1</v>
      </c>
      <c r="P20" s="201">
        <f t="shared" si="1"/>
        <v>-705.09999999999854</v>
      </c>
      <c r="Q20" s="196">
        <f t="shared" si="3"/>
        <v>-705.09999999999854</v>
      </c>
      <c r="R20" s="196">
        <f t="shared" si="9"/>
        <v>22629</v>
      </c>
      <c r="T20" t="s">
        <v>541</v>
      </c>
    </row>
    <row r="21" spans="1:20">
      <c r="A21" s="643" t="s">
        <v>1447</v>
      </c>
      <c r="B21" s="204">
        <v>44713</v>
      </c>
      <c r="C21" s="201">
        <v>23</v>
      </c>
      <c r="D21" t="s">
        <v>542</v>
      </c>
      <c r="E21" s="203"/>
      <c r="F21" s="196"/>
      <c r="G21" s="199"/>
      <c r="H21" s="53"/>
      <c r="I21" s="199">
        <v>311</v>
      </c>
      <c r="J21" s="53">
        <v>7314</v>
      </c>
      <c r="K21" s="203">
        <v>202</v>
      </c>
      <c r="L21" s="196">
        <v>4755.25</v>
      </c>
      <c r="M21" s="199">
        <f t="shared" si="0"/>
        <v>513</v>
      </c>
      <c r="N21" s="53">
        <f t="shared" si="8"/>
        <v>12069.25</v>
      </c>
      <c r="P21" s="201">
        <f t="shared" si="1"/>
        <v>-270.25</v>
      </c>
      <c r="Q21" s="196">
        <f t="shared" si="3"/>
        <v>-270.25</v>
      </c>
      <c r="R21" s="196">
        <f t="shared" si="9"/>
        <v>11799</v>
      </c>
      <c r="T21" t="s">
        <v>541</v>
      </c>
    </row>
    <row r="22" spans="1:20">
      <c r="A22" t="s">
        <v>1449</v>
      </c>
      <c r="B22" s="204">
        <v>44798</v>
      </c>
      <c r="C22" s="201">
        <v>25</v>
      </c>
      <c r="D22" t="s">
        <v>542</v>
      </c>
      <c r="E22" s="203"/>
      <c r="F22" s="196"/>
      <c r="G22" s="199"/>
      <c r="H22" s="53"/>
      <c r="I22" s="199"/>
      <c r="J22" s="53"/>
      <c r="K22" s="203">
        <v>237</v>
      </c>
      <c r="L22" s="196">
        <v>5962.5</v>
      </c>
      <c r="M22" s="199">
        <f t="shared" ref="M22" si="12">+E22+G22+I22+K22</f>
        <v>237</v>
      </c>
      <c r="N22" s="53">
        <f t="shared" ref="N22" si="13">+F22+H22+J22+L22</f>
        <v>5962.5</v>
      </c>
      <c r="P22" s="201">
        <f t="shared" si="1"/>
        <v>-37.5</v>
      </c>
      <c r="Q22" s="196">
        <f t="shared" ref="Q22" si="14">P22</f>
        <v>-37.5</v>
      </c>
      <c r="R22" s="196">
        <f t="shared" ref="R22" si="15">+N22+Q22</f>
        <v>5925</v>
      </c>
      <c r="T22" t="s">
        <v>541</v>
      </c>
    </row>
    <row r="23" spans="1:20">
      <c r="A23" t="s">
        <v>550</v>
      </c>
      <c r="B23" s="204">
        <v>44531</v>
      </c>
      <c r="C23" s="201">
        <v>40</v>
      </c>
      <c r="D23" t="s">
        <v>542</v>
      </c>
      <c r="E23" s="203">
        <v>581</v>
      </c>
      <c r="F23" s="196">
        <v>29388.799999999999</v>
      </c>
      <c r="G23" s="199">
        <v>582</v>
      </c>
      <c r="H23" s="53">
        <v>25030</v>
      </c>
      <c r="I23" s="199">
        <v>603</v>
      </c>
      <c r="J23" s="53">
        <v>25230</v>
      </c>
      <c r="K23" s="203">
        <v>508</v>
      </c>
      <c r="L23" s="196">
        <v>26580</v>
      </c>
      <c r="M23" s="199">
        <f t="shared" si="0"/>
        <v>2274</v>
      </c>
      <c r="N23" s="53">
        <f t="shared" si="8"/>
        <v>106228.8</v>
      </c>
      <c r="P23" s="201">
        <f t="shared" si="1"/>
        <v>-530.80000000000291</v>
      </c>
      <c r="Q23" s="196">
        <f t="shared" si="3"/>
        <v>-530.80000000000291</v>
      </c>
      <c r="R23" s="196">
        <f t="shared" si="9"/>
        <v>105698</v>
      </c>
      <c r="T23" t="s">
        <v>541</v>
      </c>
    </row>
    <row r="24" spans="1:20">
      <c r="A24" t="s">
        <v>549</v>
      </c>
      <c r="B24" s="204">
        <v>44621</v>
      </c>
      <c r="C24" s="201">
        <v>6400</v>
      </c>
      <c r="D24" t="s">
        <v>548</v>
      </c>
      <c r="E24" s="203"/>
      <c r="F24" s="196">
        <v>18600</v>
      </c>
      <c r="G24" s="199"/>
      <c r="H24" s="53">
        <v>18800</v>
      </c>
      <c r="I24" s="199"/>
      <c r="J24" s="53">
        <v>19200</v>
      </c>
      <c r="K24" s="203"/>
      <c r="L24" s="196">
        <v>19200</v>
      </c>
      <c r="M24" s="199"/>
      <c r="N24" s="53">
        <f t="shared" ref="N24:N32" si="16">+F24+H24+J24+L24</f>
        <v>75800</v>
      </c>
      <c r="P24" s="201">
        <f t="shared" si="1"/>
        <v>1000</v>
      </c>
      <c r="Q24" s="196">
        <f t="shared" si="3"/>
        <v>1000</v>
      </c>
      <c r="R24" s="196">
        <f t="shared" si="9"/>
        <v>76800</v>
      </c>
    </row>
    <row r="25" spans="1:20">
      <c r="A25" t="s">
        <v>1409</v>
      </c>
      <c r="B25" s="205"/>
      <c r="C25" s="201">
        <v>15</v>
      </c>
      <c r="D25" t="s">
        <v>542</v>
      </c>
      <c r="E25" s="203"/>
      <c r="F25" s="196"/>
      <c r="G25" s="199"/>
      <c r="H25" s="53"/>
      <c r="I25" s="199">
        <v>40</v>
      </c>
      <c r="J25" s="53">
        <v>720</v>
      </c>
      <c r="K25" s="203"/>
      <c r="L25" s="196"/>
      <c r="M25" s="199">
        <f t="shared" ref="M25:M32" si="17">+E25+G25+I25+K25</f>
        <v>40</v>
      </c>
      <c r="N25" s="53">
        <f t="shared" si="16"/>
        <v>720</v>
      </c>
      <c r="P25" s="201">
        <f t="shared" si="1"/>
        <v>-120</v>
      </c>
      <c r="Q25" s="196">
        <f t="shared" si="3"/>
        <v>-120</v>
      </c>
      <c r="R25" s="196">
        <f t="shared" si="9"/>
        <v>600</v>
      </c>
      <c r="T25" t="s">
        <v>541</v>
      </c>
    </row>
    <row r="26" spans="1:20">
      <c r="A26" s="83" t="s">
        <v>547</v>
      </c>
      <c r="B26" s="204">
        <v>44531</v>
      </c>
      <c r="C26" s="201">
        <v>30</v>
      </c>
      <c r="D26" t="s">
        <v>542</v>
      </c>
      <c r="E26" s="203">
        <v>569</v>
      </c>
      <c r="F26" s="196">
        <v>16921.59</v>
      </c>
      <c r="G26" s="199">
        <v>598</v>
      </c>
      <c r="H26" s="53">
        <v>19470</v>
      </c>
      <c r="I26" s="199">
        <v>637</v>
      </c>
      <c r="J26" s="53">
        <v>20355</v>
      </c>
      <c r="K26" s="203">
        <v>614</v>
      </c>
      <c r="L26" s="196">
        <v>19387.5</v>
      </c>
      <c r="M26" s="199">
        <f t="shared" si="17"/>
        <v>2418</v>
      </c>
      <c r="N26" s="53">
        <f t="shared" si="16"/>
        <v>76134.09</v>
      </c>
      <c r="P26" s="201">
        <f t="shared" si="1"/>
        <v>1475.9100000000035</v>
      </c>
      <c r="Q26" s="196">
        <f t="shared" si="3"/>
        <v>1475.9100000000035</v>
      </c>
      <c r="R26" s="196">
        <f t="shared" si="9"/>
        <v>77610</v>
      </c>
      <c r="T26" s="83" t="s">
        <v>541</v>
      </c>
    </row>
    <row r="27" spans="1:20">
      <c r="A27" s="83" t="s">
        <v>546</v>
      </c>
      <c r="B27" s="204">
        <v>44256</v>
      </c>
      <c r="C27" s="201">
        <v>15</v>
      </c>
      <c r="D27" t="s">
        <v>542</v>
      </c>
      <c r="E27" s="203"/>
      <c r="F27" s="196"/>
      <c r="G27" s="199"/>
      <c r="H27" s="53"/>
      <c r="I27" s="199"/>
      <c r="J27" s="53"/>
      <c r="K27" s="203"/>
      <c r="L27" s="196"/>
      <c r="M27" s="199">
        <f t="shared" si="17"/>
        <v>0</v>
      </c>
      <c r="N27" s="53">
        <f t="shared" si="16"/>
        <v>0</v>
      </c>
      <c r="P27" s="201">
        <f t="shared" ref="P27" si="18">+H57</f>
        <v>0</v>
      </c>
      <c r="Q27" s="196">
        <f t="shared" si="3"/>
        <v>0</v>
      </c>
      <c r="R27" s="196">
        <f t="shared" si="9"/>
        <v>0</v>
      </c>
      <c r="T27" s="83" t="s">
        <v>543</v>
      </c>
    </row>
    <row r="28" spans="1:20">
      <c r="A28" s="643" t="s">
        <v>1405</v>
      </c>
      <c r="B28" s="204">
        <v>44864</v>
      </c>
      <c r="C28" s="201">
        <v>27</v>
      </c>
      <c r="D28" t="s">
        <v>542</v>
      </c>
      <c r="E28" s="203"/>
      <c r="F28" s="196"/>
      <c r="G28" s="199">
        <v>211</v>
      </c>
      <c r="H28" s="53">
        <v>5500</v>
      </c>
      <c r="I28" s="199">
        <v>618</v>
      </c>
      <c r="J28" s="53">
        <v>16284.38</v>
      </c>
      <c r="K28" s="203">
        <v>523</v>
      </c>
      <c r="L28" s="196">
        <v>14201.75</v>
      </c>
      <c r="M28" s="199">
        <f t="shared" si="17"/>
        <v>1352</v>
      </c>
      <c r="N28" s="53">
        <f t="shared" si="16"/>
        <v>35986.129999999997</v>
      </c>
      <c r="P28" s="201">
        <f t="shared" ref="P28:P33" si="19">+H58</f>
        <v>517.87000000000262</v>
      </c>
      <c r="Q28" s="196">
        <f t="shared" si="3"/>
        <v>517.87000000000262</v>
      </c>
      <c r="R28" s="196">
        <f t="shared" si="9"/>
        <v>36504</v>
      </c>
      <c r="T28" t="s">
        <v>541</v>
      </c>
    </row>
    <row r="29" spans="1:20">
      <c r="A29" s="643" t="s">
        <v>1448</v>
      </c>
      <c r="B29" s="204">
        <v>44880</v>
      </c>
      <c r="C29" s="201">
        <v>25</v>
      </c>
      <c r="D29" t="s">
        <v>542</v>
      </c>
      <c r="E29" s="203"/>
      <c r="F29" s="196"/>
      <c r="G29" s="199"/>
      <c r="H29" s="53"/>
      <c r="I29" s="199">
        <v>430</v>
      </c>
      <c r="J29" s="53">
        <v>8564.25</v>
      </c>
      <c r="K29" s="203">
        <v>445</v>
      </c>
      <c r="L29" s="196">
        <v>8721</v>
      </c>
      <c r="M29" s="199">
        <f t="shared" ref="M29:M30" si="20">+E29+G29+I29+K29</f>
        <v>875</v>
      </c>
      <c r="N29" s="53">
        <f t="shared" ref="N29:N30" si="21">+F29+H29+J29+L29</f>
        <v>17285.25</v>
      </c>
      <c r="P29" s="201">
        <f t="shared" si="19"/>
        <v>4589.75</v>
      </c>
      <c r="Q29" s="196">
        <f t="shared" si="3"/>
        <v>4589.75</v>
      </c>
      <c r="R29" s="196">
        <f t="shared" ref="R29:R30" si="22">+N29+Q29</f>
        <v>21875</v>
      </c>
      <c r="T29" t="s">
        <v>541</v>
      </c>
    </row>
    <row r="30" spans="1:20">
      <c r="A30" s="643" t="s">
        <v>1450</v>
      </c>
      <c r="B30" s="204">
        <v>44808</v>
      </c>
      <c r="C30" s="201">
        <v>28</v>
      </c>
      <c r="D30" t="s">
        <v>542</v>
      </c>
      <c r="E30" s="203"/>
      <c r="F30" s="196"/>
      <c r="G30" s="199"/>
      <c r="H30" s="53"/>
      <c r="I30" s="199"/>
      <c r="J30" s="53"/>
      <c r="K30" s="203">
        <v>100</v>
      </c>
      <c r="L30" s="196">
        <v>2786.25</v>
      </c>
      <c r="M30" s="199">
        <f t="shared" si="20"/>
        <v>100</v>
      </c>
      <c r="N30" s="53">
        <f t="shared" si="21"/>
        <v>2786.25</v>
      </c>
      <c r="P30" s="201">
        <f t="shared" si="19"/>
        <v>13.75</v>
      </c>
      <c r="Q30" s="196">
        <f t="shared" ref="Q30" si="23">P30</f>
        <v>13.75</v>
      </c>
      <c r="R30" s="196">
        <f t="shared" si="22"/>
        <v>2800</v>
      </c>
      <c r="T30" t="s">
        <v>541</v>
      </c>
    </row>
    <row r="31" spans="1:20">
      <c r="A31" s="83" t="s">
        <v>545</v>
      </c>
      <c r="B31" s="204">
        <v>44568</v>
      </c>
      <c r="C31" s="201">
        <v>27</v>
      </c>
      <c r="D31" t="s">
        <v>542</v>
      </c>
      <c r="E31" s="203">
        <v>538</v>
      </c>
      <c r="F31" s="196">
        <v>13937.83</v>
      </c>
      <c r="G31" s="199">
        <v>580</v>
      </c>
      <c r="H31" s="53">
        <v>16116.75</v>
      </c>
      <c r="I31" s="199"/>
      <c r="J31" s="53"/>
      <c r="K31" s="203"/>
      <c r="L31" s="196"/>
      <c r="M31" s="199">
        <f t="shared" si="17"/>
        <v>1118</v>
      </c>
      <c r="N31" s="53">
        <f t="shared" si="16"/>
        <v>30054.58</v>
      </c>
      <c r="P31" s="201">
        <f t="shared" si="19"/>
        <v>131.41999999999825</v>
      </c>
      <c r="Q31" s="196">
        <f t="shared" si="3"/>
        <v>131.41999999999825</v>
      </c>
      <c r="R31" s="196">
        <f t="shared" si="9"/>
        <v>30186</v>
      </c>
      <c r="T31" t="s">
        <v>541</v>
      </c>
    </row>
    <row r="32" spans="1:20">
      <c r="A32" s="83" t="s">
        <v>544</v>
      </c>
      <c r="B32" s="204">
        <v>44562</v>
      </c>
      <c r="C32" s="201">
        <v>24</v>
      </c>
      <c r="D32" t="s">
        <v>542</v>
      </c>
      <c r="E32" s="203">
        <v>70</v>
      </c>
      <c r="F32" s="196">
        <v>1695</v>
      </c>
      <c r="G32" s="199">
        <v>9</v>
      </c>
      <c r="H32" s="53">
        <v>216</v>
      </c>
      <c r="I32" s="199">
        <v>17</v>
      </c>
      <c r="J32" s="53">
        <v>402</v>
      </c>
      <c r="K32" s="203">
        <v>96</v>
      </c>
      <c r="L32" s="196">
        <v>2304</v>
      </c>
      <c r="M32" s="199">
        <f t="shared" si="17"/>
        <v>192</v>
      </c>
      <c r="N32" s="53">
        <f t="shared" si="16"/>
        <v>4617</v>
      </c>
      <c r="P32" s="201">
        <f t="shared" si="19"/>
        <v>39383</v>
      </c>
      <c r="Q32" s="196">
        <f t="shared" si="3"/>
        <v>39383</v>
      </c>
      <c r="R32" s="196">
        <f t="shared" si="9"/>
        <v>44000</v>
      </c>
      <c r="T32" s="83" t="s">
        <v>543</v>
      </c>
    </row>
    <row r="33" spans="1:20">
      <c r="A33" s="83" t="s">
        <v>1291</v>
      </c>
      <c r="B33" s="204">
        <v>44682</v>
      </c>
      <c r="C33" s="201">
        <v>19</v>
      </c>
      <c r="D33" t="s">
        <v>542</v>
      </c>
      <c r="E33" s="203">
        <v>234</v>
      </c>
      <c r="F33" s="196">
        <v>4741.38</v>
      </c>
      <c r="G33" s="199"/>
      <c r="H33" s="53"/>
      <c r="I33" s="199"/>
      <c r="J33" s="53"/>
      <c r="K33" s="203">
        <v>105</v>
      </c>
      <c r="L33" s="196">
        <v>1985.5</v>
      </c>
      <c r="M33" s="199">
        <f t="shared" ref="M33" si="24">+E33+G33+I33+K33</f>
        <v>339</v>
      </c>
      <c r="N33" s="53">
        <f t="shared" ref="N33" si="25">+F33+H33+J33+L33</f>
        <v>6726.88</v>
      </c>
      <c r="P33" s="201">
        <f t="shared" si="19"/>
        <v>-285.88000000000011</v>
      </c>
      <c r="Q33" s="196">
        <f t="shared" si="3"/>
        <v>-285.88000000000011</v>
      </c>
      <c r="R33" s="196">
        <f t="shared" ref="R33" si="26">+N33+Q33</f>
        <v>6441</v>
      </c>
      <c r="T33" s="83" t="s">
        <v>541</v>
      </c>
    </row>
    <row r="34" spans="1:20">
      <c r="B34" s="204"/>
      <c r="C34" s="201"/>
      <c r="E34" s="199"/>
      <c r="F34" s="53"/>
      <c r="G34" s="199"/>
      <c r="H34" s="53"/>
      <c r="I34" s="199"/>
      <c r="J34" s="53"/>
      <c r="K34" s="203"/>
      <c r="L34" s="196"/>
      <c r="M34" s="199"/>
      <c r="N34" s="53"/>
      <c r="P34" s="201"/>
      <c r="Q34" s="196"/>
      <c r="R34" s="196"/>
    </row>
    <row r="35" spans="1:20">
      <c r="B35" s="34"/>
      <c r="E35" s="76"/>
      <c r="F35" s="202"/>
      <c r="G35" s="202"/>
      <c r="H35" s="57"/>
      <c r="I35" s="76"/>
      <c r="J35" s="76"/>
      <c r="K35" s="76"/>
      <c r="L35" s="76"/>
      <c r="M35" s="76"/>
      <c r="N35" s="76"/>
      <c r="P35" s="201"/>
      <c r="Q35" s="200"/>
      <c r="R35" s="200"/>
    </row>
    <row r="36" spans="1:20">
      <c r="E36" s="199"/>
      <c r="F36" s="53"/>
      <c r="G36" s="199"/>
      <c r="H36" s="53"/>
      <c r="P36" s="195"/>
      <c r="Q36" s="195"/>
      <c r="R36" s="195"/>
    </row>
    <row r="37" spans="1:20">
      <c r="E37" s="199">
        <f t="shared" ref="E37:N37" si="27">SUM(E12:E34)</f>
        <v>4847</v>
      </c>
      <c r="F37" s="53">
        <f t="shared" si="27"/>
        <v>197063.40999999997</v>
      </c>
      <c r="G37" s="199">
        <f t="shared" si="27"/>
        <v>4629</v>
      </c>
      <c r="H37" s="53">
        <f t="shared" si="27"/>
        <v>162938.52000000002</v>
      </c>
      <c r="I37" s="199">
        <f t="shared" si="27"/>
        <v>5528</v>
      </c>
      <c r="J37" s="53">
        <f t="shared" si="27"/>
        <v>184177.77000000002</v>
      </c>
      <c r="K37" s="199">
        <f t="shared" si="27"/>
        <v>5412</v>
      </c>
      <c r="L37" s="53">
        <f t="shared" si="27"/>
        <v>186301.39</v>
      </c>
      <c r="M37" s="199">
        <f t="shared" si="27"/>
        <v>20416</v>
      </c>
      <c r="N37" s="53">
        <f t="shared" si="27"/>
        <v>730481.08999999985</v>
      </c>
      <c r="P37" s="195"/>
      <c r="Q37" s="196">
        <f>SUM(Q12:Q34)</f>
        <v>44149.409999999996</v>
      </c>
      <c r="R37" s="196">
        <f>SUM(R12:R34)</f>
        <v>774630.5</v>
      </c>
    </row>
    <row r="38" spans="1:20">
      <c r="P38" s="195"/>
      <c r="Q38" s="195"/>
      <c r="R38" s="195"/>
    </row>
    <row r="39" spans="1:20">
      <c r="B39" s="2" t="s">
        <v>540</v>
      </c>
      <c r="C39" s="2" t="s">
        <v>539</v>
      </c>
      <c r="D39" s="2" t="s">
        <v>455</v>
      </c>
      <c r="F39" s="706" t="s">
        <v>1411</v>
      </c>
      <c r="G39" s="706" t="s">
        <v>1452</v>
      </c>
      <c r="N39" s="196">
        <f>+N14+N15+N16+N17+N20+N23+N25+N26+N28+N29+N31</f>
        <v>469348.91000000009</v>
      </c>
      <c r="P39" s="195">
        <v>4213</v>
      </c>
      <c r="Q39" s="196">
        <f>+Q14+Q15+Q16+Q17+Q20+Q23+Q25+Q26+Q28+Q29+Q31+Q34</f>
        <v>11884.589999999997</v>
      </c>
      <c r="R39" s="195"/>
    </row>
    <row r="40" spans="1:20">
      <c r="A40" t="s">
        <v>538</v>
      </c>
      <c r="B40" s="2" t="s">
        <v>448</v>
      </c>
      <c r="C40" s="2" t="s">
        <v>449</v>
      </c>
      <c r="D40" s="2" t="s">
        <v>449</v>
      </c>
      <c r="F40" s="706" t="s">
        <v>1412</v>
      </c>
      <c r="G40" s="706" t="s">
        <v>1413</v>
      </c>
      <c r="H40" s="2" t="s">
        <v>448</v>
      </c>
      <c r="N40" s="196">
        <f>+N19+N21+N22+N30</f>
        <v>27545.16</v>
      </c>
      <c r="P40" s="195">
        <v>4215</v>
      </c>
      <c r="Q40" s="196">
        <f>+Q19+Q21+Q22+Q30</f>
        <v>-379.15999999999985</v>
      </c>
      <c r="R40" s="195"/>
    </row>
    <row r="41" spans="1:20">
      <c r="N41" s="196">
        <f>+N33</f>
        <v>6726.88</v>
      </c>
      <c r="P41" s="195">
        <v>4222</v>
      </c>
      <c r="Q41" s="196">
        <f>+Q33</f>
        <v>-285.88000000000011</v>
      </c>
    </row>
    <row r="42" spans="1:20">
      <c r="A42" t="str">
        <f t="shared" ref="A42:A60" si="28">A12</f>
        <v>Glen Austin</v>
      </c>
      <c r="B42" s="204">
        <v>44986</v>
      </c>
      <c r="C42" s="194">
        <v>9500</v>
      </c>
      <c r="D42" s="638">
        <v>9500</v>
      </c>
      <c r="F42" s="107">
        <v>130000</v>
      </c>
      <c r="G42" s="107">
        <f t="shared" ref="G42:G60" si="29">+N12</f>
        <v>136928.57</v>
      </c>
      <c r="H42" s="107">
        <f>+F42-G42</f>
        <v>-6928.570000000007</v>
      </c>
      <c r="N42" s="196">
        <f>+N24</f>
        <v>75800</v>
      </c>
      <c r="P42" s="195">
        <v>4611</v>
      </c>
      <c r="Q42" s="196">
        <f>+Q24</f>
        <v>1000</v>
      </c>
      <c r="R42" s="195"/>
    </row>
    <row r="43" spans="1:20">
      <c r="A43" t="str">
        <f t="shared" si="28"/>
        <v>Carrie Austin</v>
      </c>
      <c r="B43" s="204">
        <v>44986</v>
      </c>
      <c r="C43" s="194">
        <f t="shared" ref="C43:C60" si="30">+C13</f>
        <v>20</v>
      </c>
      <c r="D43" s="638">
        <v>20</v>
      </c>
      <c r="F43" s="107">
        <f t="shared" ref="F43:F52" si="31">IF(M13&gt;2080,(+M13-2080)*(D43*1.5)+(2080*D43),+M13*D43)</f>
        <v>8940</v>
      </c>
      <c r="G43" s="107">
        <f t="shared" si="29"/>
        <v>8971.66</v>
      </c>
      <c r="H43" s="107">
        <f t="shared" ref="H43:H63" si="32">+F43-G43</f>
        <v>-31.659999999999854</v>
      </c>
      <c r="N43" s="197">
        <f>+N13+N18+N27+N32</f>
        <v>14131.57</v>
      </c>
      <c r="P43" s="195">
        <v>4612</v>
      </c>
      <c r="Q43" s="197">
        <f>+Q13+Q18+Q27+Q32</f>
        <v>38858.43</v>
      </c>
      <c r="R43" s="195"/>
    </row>
    <row r="44" spans="1:20">
      <c r="A44" t="str">
        <f t="shared" si="28"/>
        <v>Chet Belmont</v>
      </c>
      <c r="B44" s="204">
        <v>44986</v>
      </c>
      <c r="C44" s="194">
        <f t="shared" si="30"/>
        <v>27</v>
      </c>
      <c r="D44" s="638">
        <v>27</v>
      </c>
      <c r="F44" s="107">
        <f t="shared" si="31"/>
        <v>43578</v>
      </c>
      <c r="G44" s="107">
        <f t="shared" si="29"/>
        <v>40790.25</v>
      </c>
      <c r="H44" s="107">
        <f t="shared" ref="H44" si="33">+F44-G44</f>
        <v>2787.75</v>
      </c>
      <c r="N44" s="198">
        <f>+N12</f>
        <v>136928.57</v>
      </c>
      <c r="P44" s="195">
        <v>4613</v>
      </c>
      <c r="Q44" s="198">
        <f>+Q12</f>
        <v>-6928.570000000007</v>
      </c>
      <c r="R44" s="195"/>
    </row>
    <row r="45" spans="1:20">
      <c r="A45" t="str">
        <f t="shared" si="28"/>
        <v>Chance Belmont</v>
      </c>
      <c r="B45" s="204">
        <v>44986</v>
      </c>
      <c r="C45" s="194">
        <f t="shared" si="30"/>
        <v>22</v>
      </c>
      <c r="D45" s="638">
        <v>22</v>
      </c>
      <c r="F45" s="107">
        <f t="shared" si="31"/>
        <v>49852</v>
      </c>
      <c r="G45" s="107">
        <f t="shared" si="29"/>
        <v>45287.66</v>
      </c>
      <c r="H45" s="107">
        <f t="shared" si="32"/>
        <v>4564.3399999999965</v>
      </c>
      <c r="N45" s="197"/>
      <c r="P45" s="195"/>
      <c r="Q45" s="197"/>
      <c r="R45" s="195"/>
    </row>
    <row r="46" spans="1:20">
      <c r="A46" t="str">
        <f t="shared" si="28"/>
        <v>Narciso Cortes</v>
      </c>
      <c r="B46" s="204">
        <v>44986</v>
      </c>
      <c r="C46" s="194">
        <f t="shared" si="30"/>
        <v>23.5</v>
      </c>
      <c r="D46" s="638">
        <v>23.5</v>
      </c>
      <c r="F46" s="107">
        <f t="shared" si="31"/>
        <v>52193.5</v>
      </c>
      <c r="G46" s="107">
        <f t="shared" si="29"/>
        <v>52524.22</v>
      </c>
      <c r="H46" s="107">
        <f t="shared" si="32"/>
        <v>-330.72000000000116</v>
      </c>
      <c r="N46" s="196">
        <f>SUM(N39:N44)</f>
        <v>730481.09000000008</v>
      </c>
      <c r="P46" s="195"/>
      <c r="Q46" s="196">
        <f>SUM(Q39:Q44)</f>
        <v>44149.409999999989</v>
      </c>
      <c r="R46" s="195"/>
    </row>
    <row r="47" spans="1:20">
      <c r="A47" t="str">
        <f t="shared" si="28"/>
        <v>Felipe De La Mora</v>
      </c>
      <c r="B47" s="204">
        <v>44986</v>
      </c>
      <c r="C47" s="194">
        <f t="shared" si="30"/>
        <v>26</v>
      </c>
      <c r="D47" s="638">
        <v>26</v>
      </c>
      <c r="F47" s="107">
        <f t="shared" si="31"/>
        <v>40508</v>
      </c>
      <c r="G47" s="107">
        <f t="shared" si="29"/>
        <v>41003.83</v>
      </c>
      <c r="H47" s="107">
        <f t="shared" si="32"/>
        <v>-495.83000000000175</v>
      </c>
      <c r="R47" s="195"/>
    </row>
    <row r="48" spans="1:20">
      <c r="A48" t="str">
        <f t="shared" si="28"/>
        <v>Paul Hunter</v>
      </c>
      <c r="B48" s="204">
        <v>44259</v>
      </c>
      <c r="C48" s="194">
        <f t="shared" si="30"/>
        <v>50</v>
      </c>
      <c r="D48" s="638">
        <v>50</v>
      </c>
      <c r="F48" s="107">
        <f t="shared" si="31"/>
        <v>50</v>
      </c>
      <c r="G48" s="107">
        <f t="shared" si="29"/>
        <v>542.91</v>
      </c>
      <c r="H48" s="107">
        <f t="shared" si="32"/>
        <v>-492.90999999999997</v>
      </c>
      <c r="P48" s="195"/>
      <c r="Q48" s="195"/>
      <c r="R48" s="195"/>
    </row>
    <row r="49" spans="1:18">
      <c r="A49" t="str">
        <f t="shared" si="28"/>
        <v>Randy Lloyd</v>
      </c>
      <c r="B49" s="204">
        <v>44531</v>
      </c>
      <c r="C49" s="194">
        <f t="shared" si="30"/>
        <v>27</v>
      </c>
      <c r="D49" s="638">
        <v>27</v>
      </c>
      <c r="F49" s="107">
        <f t="shared" si="31"/>
        <v>6642</v>
      </c>
      <c r="G49" s="107">
        <f t="shared" si="29"/>
        <v>6727.16</v>
      </c>
      <c r="H49" s="107">
        <f t="shared" si="32"/>
        <v>-85.159999999999854</v>
      </c>
      <c r="P49" s="195"/>
      <c r="Q49" s="195"/>
      <c r="R49" s="195"/>
    </row>
    <row r="50" spans="1:18">
      <c r="A50" t="str">
        <f t="shared" si="28"/>
        <v>Mario Loera</v>
      </c>
      <c r="B50" s="204">
        <v>44531</v>
      </c>
      <c r="C50" s="194">
        <f t="shared" si="30"/>
        <v>28</v>
      </c>
      <c r="D50" s="638">
        <v>28.5</v>
      </c>
      <c r="F50" s="107">
        <f t="shared" si="31"/>
        <v>22629</v>
      </c>
      <c r="G50" s="107">
        <f t="shared" si="29"/>
        <v>23334.1</v>
      </c>
      <c r="H50" s="107">
        <f t="shared" si="32"/>
        <v>-705.09999999999854</v>
      </c>
      <c r="P50" s="195"/>
      <c r="Q50" s="195"/>
      <c r="R50" s="195"/>
    </row>
    <row r="51" spans="1:18">
      <c r="A51" t="str">
        <f t="shared" si="28"/>
        <v>Ed Davis</v>
      </c>
      <c r="B51" s="204">
        <v>44713</v>
      </c>
      <c r="C51" s="194">
        <f t="shared" si="30"/>
        <v>23</v>
      </c>
      <c r="D51" s="638">
        <v>23</v>
      </c>
      <c r="F51" s="107">
        <f t="shared" si="31"/>
        <v>11799</v>
      </c>
      <c r="G51" s="107">
        <f t="shared" si="29"/>
        <v>12069.25</v>
      </c>
      <c r="H51" s="107">
        <f t="shared" si="32"/>
        <v>-270.25</v>
      </c>
    </row>
    <row r="52" spans="1:18">
      <c r="A52" t="str">
        <f t="shared" si="28"/>
        <v>Cory Howe</v>
      </c>
      <c r="B52" s="204">
        <v>44798</v>
      </c>
      <c r="C52" s="194">
        <f t="shared" si="30"/>
        <v>25</v>
      </c>
      <c r="D52" s="638">
        <v>25</v>
      </c>
      <c r="F52" s="107">
        <f t="shared" si="31"/>
        <v>5925</v>
      </c>
      <c r="G52" s="107">
        <f t="shared" si="29"/>
        <v>5962.5</v>
      </c>
      <c r="H52" s="107">
        <f t="shared" ref="H52" si="34">+F52-G52</f>
        <v>-37.5</v>
      </c>
    </row>
    <row r="53" spans="1:18">
      <c r="A53" t="str">
        <f t="shared" si="28"/>
        <v>Jerry Mckinney</v>
      </c>
      <c r="B53" s="204">
        <v>44986</v>
      </c>
      <c r="C53" s="194">
        <f t="shared" si="30"/>
        <v>40</v>
      </c>
      <c r="D53" s="638">
        <v>40</v>
      </c>
      <c r="F53" s="107">
        <f>IF(M23&gt;2080,(+M23-2080)*(D53*1.5)+(2080*D53),+M23*D53)+10858</f>
        <v>105698</v>
      </c>
      <c r="G53" s="107">
        <f t="shared" si="29"/>
        <v>106228.8</v>
      </c>
      <c r="H53" s="107">
        <f t="shared" si="32"/>
        <v>-530.80000000000291</v>
      </c>
    </row>
    <row r="54" spans="1:18">
      <c r="A54" t="str">
        <f t="shared" si="28"/>
        <v>Leo Miller</v>
      </c>
      <c r="B54" s="204">
        <v>44986</v>
      </c>
      <c r="C54" s="194">
        <f t="shared" si="30"/>
        <v>6400</v>
      </c>
      <c r="D54" s="638">
        <v>6400</v>
      </c>
      <c r="F54" s="107">
        <f>+D54*12</f>
        <v>76800</v>
      </c>
      <c r="G54" s="107">
        <f t="shared" si="29"/>
        <v>75800</v>
      </c>
      <c r="H54" s="107">
        <f t="shared" si="32"/>
        <v>1000</v>
      </c>
    </row>
    <row r="55" spans="1:18">
      <c r="A55" t="str">
        <f t="shared" si="28"/>
        <v>Ty Miller</v>
      </c>
      <c r="B55" s="204">
        <v>44986</v>
      </c>
      <c r="C55" s="194">
        <f t="shared" si="30"/>
        <v>15</v>
      </c>
      <c r="D55" s="638">
        <v>15</v>
      </c>
      <c r="F55" s="107">
        <f>+M25*D55</f>
        <v>600</v>
      </c>
      <c r="G55" s="107">
        <f t="shared" si="29"/>
        <v>720</v>
      </c>
      <c r="H55" s="107">
        <f t="shared" si="32"/>
        <v>-120</v>
      </c>
    </row>
    <row r="56" spans="1:18">
      <c r="A56" t="str">
        <f t="shared" si="28"/>
        <v>Douglas Ramsey</v>
      </c>
      <c r="B56" s="204">
        <v>44986</v>
      </c>
      <c r="C56" s="194">
        <f t="shared" si="30"/>
        <v>30</v>
      </c>
      <c r="D56" s="638">
        <v>30</v>
      </c>
      <c r="F56" s="107">
        <f>IF(M26&gt;2080,(+M26-2080)*(D56*1.5)+(2080*D56),+M26*D56)</f>
        <v>77610</v>
      </c>
      <c r="G56" s="107">
        <f t="shared" si="29"/>
        <v>76134.09</v>
      </c>
      <c r="H56" s="107">
        <f t="shared" si="32"/>
        <v>1475.9100000000035</v>
      </c>
    </row>
    <row r="57" spans="1:18">
      <c r="A57" t="str">
        <f t="shared" si="28"/>
        <v>Caitylyn Rinehart</v>
      </c>
      <c r="B57" s="204">
        <v>44259</v>
      </c>
      <c r="C57" s="194">
        <f t="shared" si="30"/>
        <v>15</v>
      </c>
      <c r="D57" s="638">
        <v>15</v>
      </c>
      <c r="F57" s="107">
        <f>IF(M27&gt;2080,(+M27-2080)*(D57*1.5)+(2080*D57),+M27*D57)</f>
        <v>0</v>
      </c>
      <c r="G57" s="107">
        <f t="shared" si="29"/>
        <v>0</v>
      </c>
      <c r="H57" s="107">
        <f t="shared" si="32"/>
        <v>0</v>
      </c>
    </row>
    <row r="58" spans="1:18">
      <c r="A58" t="str">
        <f t="shared" si="28"/>
        <v>Frank Simpson</v>
      </c>
      <c r="B58" s="204"/>
      <c r="C58" s="194">
        <f t="shared" si="30"/>
        <v>27</v>
      </c>
      <c r="D58" s="638">
        <v>27</v>
      </c>
      <c r="F58" s="107">
        <f>IF(M28&gt;2080,(+M28-2080)*(D58*1.5)+(2080*D58),+M28*D58)</f>
        <v>36504</v>
      </c>
      <c r="G58" s="107">
        <f t="shared" si="29"/>
        <v>35986.129999999997</v>
      </c>
      <c r="H58" s="107">
        <f t="shared" si="32"/>
        <v>517.87000000000262</v>
      </c>
    </row>
    <row r="59" spans="1:18">
      <c r="A59" t="str">
        <f t="shared" si="28"/>
        <v>Eric Straub</v>
      </c>
      <c r="B59" s="204">
        <v>44986</v>
      </c>
      <c r="C59" s="194">
        <f t="shared" si="30"/>
        <v>25</v>
      </c>
      <c r="D59" s="638">
        <v>25</v>
      </c>
      <c r="F59" s="107">
        <f>IF(M29&gt;2080,(+M29-2080)*(D59*1.5)+(2080*D59),+M29*D59)</f>
        <v>21875</v>
      </c>
      <c r="G59" s="107">
        <f t="shared" si="29"/>
        <v>17285.25</v>
      </c>
      <c r="H59" s="107">
        <f t="shared" si="32"/>
        <v>4589.75</v>
      </c>
    </row>
    <row r="60" spans="1:18">
      <c r="A60" t="str">
        <f t="shared" si="28"/>
        <v>David Suess</v>
      </c>
      <c r="B60" s="204">
        <v>44986</v>
      </c>
      <c r="C60" s="194">
        <f t="shared" si="30"/>
        <v>28</v>
      </c>
      <c r="D60" s="638">
        <v>28</v>
      </c>
      <c r="F60" s="107">
        <f>IF(M30&gt;2080,(+M30-2080)*(D60*1.5)+(2080*D60),+M30*D60)</f>
        <v>2800</v>
      </c>
      <c r="G60" s="107">
        <f t="shared" si="29"/>
        <v>2786.25</v>
      </c>
      <c r="H60" s="107">
        <f t="shared" ref="H60" si="35">+F60-G60</f>
        <v>13.75</v>
      </c>
    </row>
    <row r="61" spans="1:18">
      <c r="A61" t="str">
        <f t="shared" ref="A61" si="36">A31</f>
        <v>Allen Tilbury</v>
      </c>
      <c r="B61" s="204">
        <v>44531</v>
      </c>
      <c r="C61" s="194">
        <f t="shared" ref="C61" si="37">+C31</f>
        <v>27</v>
      </c>
      <c r="D61" s="639">
        <v>27</v>
      </c>
      <c r="F61" s="107">
        <f t="shared" ref="F61" si="38">IF(M31&gt;2080,(+M31-2080)*(D61*1.5)+(2080*D61),+M31*D61)</f>
        <v>30186</v>
      </c>
      <c r="G61" s="107">
        <f t="shared" ref="G61:G62" si="39">+N31</f>
        <v>30054.58</v>
      </c>
      <c r="H61" s="107">
        <f t="shared" si="32"/>
        <v>131.41999999999825</v>
      </c>
    </row>
    <row r="62" spans="1:18">
      <c r="A62" s="643" t="s">
        <v>1359</v>
      </c>
      <c r="B62" s="204">
        <v>44259</v>
      </c>
      <c r="C62" s="194">
        <v>24</v>
      </c>
      <c r="D62" s="639">
        <v>44000</v>
      </c>
      <c r="F62" s="107">
        <v>44000</v>
      </c>
      <c r="G62" s="107">
        <f t="shared" si="39"/>
        <v>4617</v>
      </c>
      <c r="H62" s="107">
        <f t="shared" si="32"/>
        <v>39383</v>
      </c>
    </row>
    <row r="63" spans="1:18">
      <c r="A63" t="str">
        <f>A33</f>
        <v>Roberto Vejar</v>
      </c>
      <c r="B63" s="204">
        <v>44986</v>
      </c>
      <c r="C63" s="194">
        <v>19</v>
      </c>
      <c r="D63" s="639">
        <v>19</v>
      </c>
      <c r="F63" s="107">
        <f>IF(M33&gt;2080,(+M33-2080)*(D63*1.5)+(2080*D63),+M33*D63)</f>
        <v>6441</v>
      </c>
      <c r="G63" s="107">
        <f>+N33</f>
        <v>6726.88</v>
      </c>
      <c r="H63" s="107">
        <f t="shared" si="32"/>
        <v>-285.88000000000011</v>
      </c>
    </row>
    <row r="64" spans="1:18">
      <c r="A64">
        <f>A34</f>
        <v>0</v>
      </c>
      <c r="B64" s="204"/>
      <c r="C64" s="194"/>
      <c r="D64" s="639"/>
      <c r="E64" s="84"/>
      <c r="G64" s="107"/>
    </row>
    <row r="66" spans="7:7">
      <c r="G66" s="710">
        <f>SUM(G42:G63)</f>
        <v>730481.08999999985</v>
      </c>
    </row>
  </sheetData>
  <pageMargins left="0.2" right="0.59" top="0.51" bottom="0.5" header="0.5" footer="0.5"/>
  <pageSetup scale="72" orientation="landscape" r:id="rId1"/>
  <headerFooter alignWithMargins="0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workbookViewId="0">
      <selection activeCell="P23" sqref="P23"/>
    </sheetView>
  </sheetViews>
  <sheetFormatPr defaultRowHeight="12.75"/>
  <cols>
    <col min="1" max="1" width="14.140625" customWidth="1"/>
    <col min="5" max="5" width="10.7109375" customWidth="1"/>
    <col min="6" max="6" width="9.28515625" bestFit="1" customWidth="1"/>
    <col min="7" max="7" width="10.5703125" customWidth="1"/>
    <col min="8" max="8" width="10.28515625" bestFit="1" customWidth="1"/>
  </cols>
  <sheetData>
    <row r="1" spans="1:15">
      <c r="A1" t="s">
        <v>0</v>
      </c>
    </row>
    <row r="3" spans="1:15">
      <c r="A3" t="s">
        <v>263</v>
      </c>
      <c r="D3" s="643" t="s">
        <v>1342</v>
      </c>
      <c r="E3" s="647" t="s">
        <v>689</v>
      </c>
    </row>
    <row r="5" spans="1:15">
      <c r="A5" s="644" t="s">
        <v>1457</v>
      </c>
    </row>
    <row r="9" spans="1:15">
      <c r="A9" t="s">
        <v>576</v>
      </c>
      <c r="C9" s="2" t="s">
        <v>190</v>
      </c>
      <c r="D9" s="2" t="s">
        <v>575</v>
      </c>
      <c r="E9" s="2" t="s">
        <v>190</v>
      </c>
      <c r="F9" s="2" t="s">
        <v>575</v>
      </c>
    </row>
    <row r="10" spans="1:15">
      <c r="A10" s="76" t="s">
        <v>574</v>
      </c>
      <c r="B10" s="76"/>
      <c r="C10" s="131" t="s">
        <v>197</v>
      </c>
      <c r="D10" s="131" t="s">
        <v>197</v>
      </c>
      <c r="E10" s="131" t="s">
        <v>573</v>
      </c>
      <c r="F10" s="131" t="s">
        <v>573</v>
      </c>
      <c r="G10" s="76"/>
      <c r="H10" s="76" t="s">
        <v>118</v>
      </c>
    </row>
    <row r="12" spans="1:15">
      <c r="A12" s="172">
        <v>44561</v>
      </c>
      <c r="C12" s="220">
        <v>3757</v>
      </c>
      <c r="D12" s="220">
        <v>660</v>
      </c>
      <c r="E12" s="219">
        <v>5668.56</v>
      </c>
      <c r="F12" s="219">
        <v>103.62</v>
      </c>
      <c r="G12" s="53"/>
      <c r="H12" s="53">
        <f>+E12+F12</f>
        <v>5772.18</v>
      </c>
    </row>
    <row r="13" spans="1:15">
      <c r="A13" s="172">
        <v>44651</v>
      </c>
      <c r="C13" s="220">
        <v>3729</v>
      </c>
      <c r="D13" s="220">
        <v>604</v>
      </c>
      <c r="E13" s="219">
        <v>5268.7</v>
      </c>
      <c r="F13" s="219">
        <v>105.94</v>
      </c>
      <c r="G13" s="53"/>
      <c r="H13" s="53">
        <f>+E13+F13</f>
        <v>5374.6399999999994</v>
      </c>
    </row>
    <row r="14" spans="1:15">
      <c r="A14" s="172">
        <v>44742</v>
      </c>
      <c r="C14" s="220">
        <v>4836</v>
      </c>
      <c r="D14" s="220">
        <v>630</v>
      </c>
      <c r="E14" s="219">
        <v>6832.78</v>
      </c>
      <c r="F14" s="219">
        <v>110.5</v>
      </c>
      <c r="G14" s="53"/>
      <c r="H14" s="53">
        <f>+E14+F14</f>
        <v>6943.28</v>
      </c>
    </row>
    <row r="15" spans="1:15">
      <c r="A15" s="221">
        <v>44834</v>
      </c>
      <c r="C15" s="220">
        <v>4591</v>
      </c>
      <c r="D15" s="220">
        <v>666</v>
      </c>
      <c r="E15" s="219">
        <v>6486.62</v>
      </c>
      <c r="F15" s="219">
        <v>116.82</v>
      </c>
      <c r="G15" s="53"/>
      <c r="H15" s="53">
        <f>+E15+F15</f>
        <v>6603.44</v>
      </c>
      <c r="J15" s="111"/>
      <c r="K15" s="195"/>
      <c r="L15" s="195"/>
      <c r="M15" s="195"/>
      <c r="N15" s="195"/>
      <c r="O15" s="195"/>
    </row>
    <row r="16" spans="1:15">
      <c r="C16" s="199"/>
      <c r="D16" s="199"/>
      <c r="E16" s="53"/>
      <c r="F16" s="53"/>
      <c r="G16" s="53"/>
      <c r="H16" s="53"/>
    </row>
    <row r="17" spans="1:8">
      <c r="A17" t="s">
        <v>118</v>
      </c>
      <c r="C17" s="199">
        <f>SUM(C12:C15)</f>
        <v>16913</v>
      </c>
      <c r="D17" s="199">
        <f>SUM(D12:D15)</f>
        <v>2560</v>
      </c>
      <c r="E17" s="53">
        <f>SUM(E12:E15)</f>
        <v>24256.66</v>
      </c>
      <c r="F17" s="53">
        <f>SUM(F12:F15)</f>
        <v>436.88</v>
      </c>
      <c r="G17" s="53"/>
      <c r="H17" s="53">
        <f>SUM(H12:H15)</f>
        <v>24693.539999999997</v>
      </c>
    </row>
    <row r="19" spans="1:8">
      <c r="A19" t="s">
        <v>89</v>
      </c>
      <c r="E19" s="218"/>
      <c r="F19" s="218"/>
      <c r="G19" s="218"/>
      <c r="H19" s="218">
        <f>+E19</f>
        <v>0</v>
      </c>
    </row>
    <row r="20" spans="1:8">
      <c r="A20" t="s">
        <v>572</v>
      </c>
      <c r="E20" s="44">
        <v>-4644.7</v>
      </c>
      <c r="F20" s="44">
        <v>-226.36</v>
      </c>
      <c r="H20" s="57">
        <f>+E20+F20</f>
        <v>-4871.0599999999995</v>
      </c>
    </row>
    <row r="21" spans="1:8">
      <c r="H21" s="84"/>
    </row>
    <row r="22" spans="1:8" ht="13.5" thickBot="1">
      <c r="A22" t="s">
        <v>84</v>
      </c>
      <c r="E22" s="217">
        <f>+E17+E19+E20</f>
        <v>19611.96</v>
      </c>
      <c r="F22" s="217">
        <f>+F17+F20</f>
        <v>210.51999999999998</v>
      </c>
      <c r="G22" s="212"/>
      <c r="H22" s="217">
        <f>+H17+E19+H20</f>
        <v>19822.479999999996</v>
      </c>
    </row>
    <row r="23" spans="1:8" ht="13.5" thickTop="1">
      <c r="H23" s="84"/>
    </row>
    <row r="25" spans="1:8">
      <c r="A25" t="s">
        <v>571</v>
      </c>
      <c r="E25" s="216">
        <f>+E17/C17</f>
        <v>1.4342020930645065</v>
      </c>
      <c r="F25" s="216">
        <f>+F17/D17</f>
        <v>0.17065625000000001</v>
      </c>
    </row>
    <row r="26" spans="1:8">
      <c r="E26" s="216"/>
      <c r="F26" s="216"/>
    </row>
    <row r="27" spans="1:8">
      <c r="A27" t="s">
        <v>570</v>
      </c>
      <c r="E27" s="215">
        <v>1.4129</v>
      </c>
      <c r="F27" s="215">
        <v>0.1754</v>
      </c>
    </row>
    <row r="28" spans="1:8">
      <c r="A28" t="s">
        <v>569</v>
      </c>
      <c r="E28" s="215">
        <v>0.27295000000000003</v>
      </c>
      <c r="F28" s="215">
        <v>8.1949999999999995E-2</v>
      </c>
    </row>
    <row r="31" spans="1:8">
      <c r="A31" t="s">
        <v>568</v>
      </c>
      <c r="E31" s="56">
        <f>+C17*E27</f>
        <v>23896.377700000001</v>
      </c>
      <c r="F31" s="56">
        <f>+D17*F27</f>
        <v>449.024</v>
      </c>
      <c r="G31" s="212"/>
    </row>
    <row r="32" spans="1:8">
      <c r="E32" s="212"/>
      <c r="F32" s="212"/>
      <c r="G32" s="212"/>
    </row>
    <row r="33" spans="1:9">
      <c r="A33" t="s">
        <v>567</v>
      </c>
      <c r="E33" s="50">
        <f>+-C17*E28</f>
        <v>-4616.4033500000005</v>
      </c>
      <c r="F33" s="50">
        <f>+-D17*F28</f>
        <v>-209.79199999999997</v>
      </c>
      <c r="G33" s="212"/>
    </row>
    <row r="34" spans="1:9">
      <c r="E34" s="214"/>
      <c r="F34" s="214"/>
      <c r="G34" s="212"/>
    </row>
    <row r="35" spans="1:9" ht="13.5" thickBot="1">
      <c r="A35" t="s">
        <v>566</v>
      </c>
      <c r="E35" s="213">
        <f>-E22</f>
        <v>-19611.96</v>
      </c>
      <c r="F35" s="213">
        <f>-F22</f>
        <v>-210.51999999999998</v>
      </c>
      <c r="G35" s="212"/>
    </row>
    <row r="36" spans="1:9">
      <c r="E36" s="212"/>
      <c r="F36" s="212"/>
      <c r="G36" s="212"/>
      <c r="I36" s="211"/>
    </row>
    <row r="37" spans="1:9" ht="13.5" thickBot="1">
      <c r="A37" t="s">
        <v>565</v>
      </c>
      <c r="E37" s="210">
        <f>SUM(E31:E35)</f>
        <v>-331.98564999999871</v>
      </c>
      <c r="F37" s="210">
        <f>SUM(F31:F35)</f>
        <v>28.712000000000046</v>
      </c>
      <c r="G37" s="210">
        <f>+E37+F37</f>
        <v>-303.27364999999867</v>
      </c>
    </row>
    <row r="38" spans="1:9" ht="13.5" thickTop="1">
      <c r="I38" s="83"/>
    </row>
    <row r="40" spans="1:9">
      <c r="H40" s="83"/>
    </row>
  </sheetData>
  <pageMargins left="0.31" right="0.3" top="0.54" bottom="1" header="0.5" footer="0.5"/>
  <pageSetup orientation="portrait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4" workbookViewId="0">
      <selection activeCell="D23" sqref="D23"/>
    </sheetView>
  </sheetViews>
  <sheetFormatPr defaultRowHeight="12.75"/>
  <cols>
    <col min="4" max="4" width="9.7109375" customWidth="1"/>
    <col min="6" max="6" width="11" customWidth="1"/>
  </cols>
  <sheetData>
    <row r="1" spans="1:10">
      <c r="A1" t="s">
        <v>0</v>
      </c>
    </row>
    <row r="3" spans="1:10">
      <c r="A3" t="s">
        <v>264</v>
      </c>
      <c r="E3" s="643" t="s">
        <v>1342</v>
      </c>
      <c r="F3" s="647" t="s">
        <v>689</v>
      </c>
    </row>
    <row r="5" spans="1:10">
      <c r="A5" s="222" t="s">
        <v>1458</v>
      </c>
    </row>
    <row r="9" spans="1:10">
      <c r="D9" s="2">
        <v>2023</v>
      </c>
      <c r="F9" t="s">
        <v>456</v>
      </c>
    </row>
    <row r="10" spans="1:10">
      <c r="D10" s="2" t="s">
        <v>580</v>
      </c>
      <c r="F10" t="s">
        <v>88</v>
      </c>
    </row>
    <row r="11" spans="1:10">
      <c r="A11" s="76" t="s">
        <v>579</v>
      </c>
      <c r="B11" s="76"/>
      <c r="C11" s="76"/>
      <c r="D11" s="131" t="s">
        <v>578</v>
      </c>
      <c r="E11" s="76"/>
      <c r="F11" s="76" t="s">
        <v>107</v>
      </c>
    </row>
    <row r="13" spans="1:10">
      <c r="A13" t="s">
        <v>555</v>
      </c>
      <c r="D13" s="219">
        <v>872.12</v>
      </c>
      <c r="E13" s="53">
        <v>12</v>
      </c>
      <c r="F13" s="53">
        <f t="shared" ref="F13:F22" si="0">+D13*E13</f>
        <v>10465.44</v>
      </c>
      <c r="G13" s="53"/>
    </row>
    <row r="14" spans="1:10">
      <c r="A14" s="643" t="s">
        <v>1403</v>
      </c>
      <c r="D14" s="219">
        <f>+D13</f>
        <v>872.12</v>
      </c>
      <c r="E14" s="53">
        <v>12</v>
      </c>
      <c r="F14" s="53">
        <f t="shared" si="0"/>
        <v>10465.44</v>
      </c>
      <c r="G14" s="53"/>
    </row>
    <row r="15" spans="1:10">
      <c r="A15" s="643" t="s">
        <v>1404</v>
      </c>
      <c r="D15" s="219">
        <f t="shared" ref="D15:D21" si="1">+D14</f>
        <v>872.12</v>
      </c>
      <c r="E15" s="53">
        <v>12</v>
      </c>
      <c r="F15" s="53">
        <f t="shared" si="0"/>
        <v>10465.44</v>
      </c>
      <c r="G15" s="53"/>
      <c r="J15" s="83"/>
    </row>
    <row r="16" spans="1:10">
      <c r="A16" t="s">
        <v>577</v>
      </c>
      <c r="D16" s="219">
        <f t="shared" si="1"/>
        <v>872.12</v>
      </c>
      <c r="E16" s="53">
        <v>12</v>
      </c>
      <c r="F16" s="53">
        <f t="shared" si="0"/>
        <v>10465.44</v>
      </c>
      <c r="G16" s="53"/>
    </row>
    <row r="17" spans="1:10">
      <c r="A17" t="s">
        <v>553</v>
      </c>
      <c r="D17" s="219">
        <f t="shared" si="1"/>
        <v>872.12</v>
      </c>
      <c r="E17" s="53">
        <v>12</v>
      </c>
      <c r="F17" s="53">
        <f t="shared" si="0"/>
        <v>10465.44</v>
      </c>
      <c r="G17" s="53"/>
    </row>
    <row r="18" spans="1:10">
      <c r="A18" t="s">
        <v>550</v>
      </c>
      <c r="D18" s="219">
        <f t="shared" si="1"/>
        <v>872.12</v>
      </c>
      <c r="E18" s="53">
        <v>12</v>
      </c>
      <c r="F18" s="53">
        <f t="shared" si="0"/>
        <v>10465.44</v>
      </c>
      <c r="G18" s="53"/>
    </row>
    <row r="19" spans="1:10">
      <c r="A19" s="83" t="s">
        <v>547</v>
      </c>
      <c r="D19" s="219">
        <f t="shared" si="1"/>
        <v>872.12</v>
      </c>
      <c r="E19" s="53">
        <v>12</v>
      </c>
      <c r="F19" s="53">
        <f t="shared" si="0"/>
        <v>10465.44</v>
      </c>
      <c r="G19" s="53"/>
    </row>
    <row r="20" spans="1:10">
      <c r="A20" s="643" t="s">
        <v>1405</v>
      </c>
      <c r="D20" s="219">
        <f t="shared" si="1"/>
        <v>872.12</v>
      </c>
      <c r="E20" s="53">
        <v>12</v>
      </c>
      <c r="F20" s="53">
        <f t="shared" ref="F20" si="2">+D20*E20</f>
        <v>10465.44</v>
      </c>
      <c r="G20" s="53"/>
    </row>
    <row r="21" spans="1:10">
      <c r="A21" s="643" t="s">
        <v>1459</v>
      </c>
      <c r="D21" s="219">
        <f t="shared" si="1"/>
        <v>872.12</v>
      </c>
      <c r="E21" s="53">
        <v>12</v>
      </c>
      <c r="F21" s="53">
        <f t="shared" si="0"/>
        <v>10465.44</v>
      </c>
      <c r="G21" s="53"/>
    </row>
    <row r="22" spans="1:10" ht="13.5" thickBot="1">
      <c r="A22" s="643" t="s">
        <v>1450</v>
      </c>
      <c r="D22" s="225">
        <v>872.12</v>
      </c>
      <c r="E22" s="224">
        <v>12</v>
      </c>
      <c r="F22" s="224">
        <f t="shared" si="0"/>
        <v>10465.44</v>
      </c>
      <c r="G22" s="53"/>
      <c r="J22" s="83"/>
    </row>
    <row r="23" spans="1:10">
      <c r="D23" s="53"/>
      <c r="E23" s="53"/>
      <c r="F23" s="53"/>
      <c r="G23" s="53"/>
    </row>
    <row r="24" spans="1:10">
      <c r="A24" t="s">
        <v>118</v>
      </c>
      <c r="D24" s="53">
        <f>SUM(D13:D22)</f>
        <v>8721.2000000000007</v>
      </c>
      <c r="E24" s="53"/>
      <c r="F24" s="53">
        <f>SUM(F13:F22)</f>
        <v>104654.40000000001</v>
      </c>
      <c r="G24" s="53"/>
      <c r="J24" s="83"/>
    </row>
    <row r="25" spans="1:10">
      <c r="D25" s="53"/>
      <c r="E25" s="53"/>
      <c r="F25" s="53"/>
      <c r="G25" s="53"/>
      <c r="J25" s="83"/>
    </row>
    <row r="26" spans="1:10" ht="13.5" thickBot="1">
      <c r="A26" t="s">
        <v>266</v>
      </c>
      <c r="D26" s="53"/>
      <c r="E26" s="53"/>
      <c r="F26" s="224">
        <f>-'Results of Operations Staff '!C76</f>
        <v>-78116.320000000007</v>
      </c>
      <c r="G26" s="53"/>
      <c r="J26" s="83"/>
    </row>
    <row r="28" spans="1:10" ht="13.5" thickBot="1">
      <c r="A28" t="s">
        <v>565</v>
      </c>
      <c r="F28" s="223">
        <f>+F24+F26</f>
        <v>26538.080000000002</v>
      </c>
      <c r="J28" s="83"/>
    </row>
    <row r="29" spans="1:10" ht="13.5" thickTop="1"/>
    <row r="31" spans="1:10">
      <c r="J31" s="83"/>
    </row>
    <row r="32" spans="1:10">
      <c r="J32" s="83"/>
    </row>
    <row r="33" spans="10:10">
      <c r="J33" s="83"/>
    </row>
    <row r="34" spans="10:10">
      <c r="J34" s="83"/>
    </row>
    <row r="35" spans="10:10">
      <c r="J35" s="83"/>
    </row>
    <row r="36" spans="10:10">
      <c r="J36" s="83"/>
    </row>
  </sheetData>
  <pageMargins left="0.31" right="0.3" top="0.47" bottom="0.36" header="0.5" footer="0.5"/>
  <pageSetup orientation="portrait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A6" sqref="A6"/>
    </sheetView>
  </sheetViews>
  <sheetFormatPr defaultRowHeight="12.75"/>
  <cols>
    <col min="1" max="1" width="13.140625" customWidth="1"/>
    <col min="2" max="2" width="13.7109375" customWidth="1"/>
    <col min="4" max="4" width="11.140625" customWidth="1"/>
    <col min="5" max="5" width="12.85546875" customWidth="1"/>
    <col min="8" max="8" width="11.7109375" customWidth="1"/>
    <col min="9" max="9" width="11.42578125" customWidth="1"/>
  </cols>
  <sheetData>
    <row r="1" spans="1:10">
      <c r="A1" t="s">
        <v>0</v>
      </c>
    </row>
    <row r="3" spans="1:10">
      <c r="A3" t="s">
        <v>588</v>
      </c>
      <c r="D3" s="643" t="s">
        <v>1342</v>
      </c>
      <c r="E3" s="647" t="s">
        <v>689</v>
      </c>
    </row>
    <row r="5" spans="1:10">
      <c r="A5" s="642" t="s">
        <v>1435</v>
      </c>
    </row>
    <row r="9" spans="1:10">
      <c r="A9" s="16" t="s">
        <v>587</v>
      </c>
      <c r="B9" s="2"/>
      <c r="D9" s="16" t="s">
        <v>586</v>
      </c>
      <c r="E9" s="2"/>
      <c r="G9" t="s">
        <v>585</v>
      </c>
    </row>
    <row r="11" spans="1:10">
      <c r="A11" s="76" t="s">
        <v>584</v>
      </c>
      <c r="B11" s="131" t="s">
        <v>151</v>
      </c>
      <c r="D11" s="76" t="s">
        <v>584</v>
      </c>
      <c r="E11" s="131" t="s">
        <v>151</v>
      </c>
      <c r="G11" s="131" t="s">
        <v>106</v>
      </c>
      <c r="H11" s="131" t="s">
        <v>112</v>
      </c>
      <c r="I11" s="131" t="s">
        <v>109</v>
      </c>
      <c r="J11" s="131" t="s">
        <v>106</v>
      </c>
    </row>
    <row r="12" spans="1:10">
      <c r="A12" t="s">
        <v>504</v>
      </c>
      <c r="B12" s="6">
        <f>'Monthy Income Statements'!C$11</f>
        <v>22421.32</v>
      </c>
      <c r="D12" t="str">
        <f t="shared" ref="D12:D23" si="0">+A12</f>
        <v>October</v>
      </c>
      <c r="E12" s="6">
        <f>'Monthy Income Statements'!C$12</f>
        <v>10636.68</v>
      </c>
      <c r="G12" s="139">
        <v>3.7499999999999999E-2</v>
      </c>
      <c r="H12" s="53">
        <f t="shared" ref="H12:H23" si="1">+B12*(1+G12)</f>
        <v>23262.119500000001</v>
      </c>
      <c r="I12" s="53">
        <f t="shared" ref="I12:I23" si="2">+E12*(1+J12)</f>
        <v>10955.780400000001</v>
      </c>
      <c r="J12" s="10">
        <v>0.03</v>
      </c>
    </row>
    <row r="13" spans="1:10">
      <c r="A13" t="s">
        <v>503</v>
      </c>
      <c r="B13" s="6">
        <f>'Monthy Income Statements'!D$11</f>
        <v>23700.3</v>
      </c>
      <c r="D13" t="str">
        <f t="shared" si="0"/>
        <v>November</v>
      </c>
      <c r="E13" s="6">
        <f>'Monthy Income Statements'!D$12</f>
        <v>10643.96</v>
      </c>
      <c r="G13" s="139">
        <v>3.7499999999999999E-2</v>
      </c>
      <c r="H13" s="53">
        <f t="shared" si="1"/>
        <v>24589.061250000002</v>
      </c>
      <c r="I13" s="53">
        <f t="shared" si="2"/>
        <v>10963.2788</v>
      </c>
      <c r="J13" s="10">
        <v>0.03</v>
      </c>
    </row>
    <row r="14" spans="1:10">
      <c r="A14" s="18" t="s">
        <v>502</v>
      </c>
      <c r="B14" s="6">
        <f>'Monthy Income Statements'!E$11</f>
        <v>27859.32</v>
      </c>
      <c r="C14" s="18"/>
      <c r="D14" s="18" t="str">
        <f t="shared" si="0"/>
        <v>December</v>
      </c>
      <c r="E14" s="6">
        <f>'Monthy Income Statements'!E$12</f>
        <v>10489.24</v>
      </c>
      <c r="G14" s="139">
        <v>3.7499999999999999E-2</v>
      </c>
      <c r="H14" s="53">
        <f t="shared" si="1"/>
        <v>28904.044500000004</v>
      </c>
      <c r="I14" s="53">
        <f t="shared" si="2"/>
        <v>10803.9172</v>
      </c>
      <c r="J14" s="10">
        <v>0.03</v>
      </c>
    </row>
    <row r="15" spans="1:10">
      <c r="A15" t="s">
        <v>513</v>
      </c>
      <c r="B15" s="6">
        <f>'Monthy Income Statements'!F$11</f>
        <v>19723.150000000001</v>
      </c>
      <c r="D15" t="str">
        <f t="shared" si="0"/>
        <v>January</v>
      </c>
      <c r="E15" s="6">
        <f>'Monthy Income Statements'!F$12</f>
        <v>10499.45</v>
      </c>
      <c r="G15" s="139">
        <v>0</v>
      </c>
      <c r="H15" s="53">
        <f t="shared" si="1"/>
        <v>19723.150000000001</v>
      </c>
      <c r="I15" s="53">
        <f t="shared" si="2"/>
        <v>10499.45</v>
      </c>
      <c r="J15" s="10">
        <v>0</v>
      </c>
    </row>
    <row r="16" spans="1:10">
      <c r="A16" t="s">
        <v>512</v>
      </c>
      <c r="B16" s="6">
        <f>'Monthy Income Statements'!G$11</f>
        <v>22895.47</v>
      </c>
      <c r="D16" t="str">
        <f t="shared" si="0"/>
        <v>February</v>
      </c>
      <c r="E16" s="6">
        <f>'Monthy Income Statements'!G$12</f>
        <v>9522.75</v>
      </c>
      <c r="G16" s="139">
        <v>0</v>
      </c>
      <c r="H16" s="53">
        <f t="shared" si="1"/>
        <v>22895.47</v>
      </c>
      <c r="I16" s="53">
        <f t="shared" si="2"/>
        <v>9522.75</v>
      </c>
      <c r="J16" s="10">
        <v>0</v>
      </c>
    </row>
    <row r="17" spans="1:10">
      <c r="A17" t="s">
        <v>511</v>
      </c>
      <c r="B17" s="6">
        <f>'Monthy Income Statements'!H$11</f>
        <v>26869.17</v>
      </c>
      <c r="D17" t="str">
        <f t="shared" si="0"/>
        <v>March</v>
      </c>
      <c r="E17" s="6">
        <f>'Monthy Income Statements'!H$12</f>
        <v>9490.7000000000007</v>
      </c>
      <c r="G17" s="139">
        <v>0</v>
      </c>
      <c r="H17" s="53">
        <f t="shared" si="1"/>
        <v>26869.17</v>
      </c>
      <c r="I17" s="53">
        <f t="shared" si="2"/>
        <v>9490.7000000000007</v>
      </c>
      <c r="J17" s="10">
        <v>0</v>
      </c>
    </row>
    <row r="18" spans="1:10">
      <c r="A18" t="s">
        <v>510</v>
      </c>
      <c r="B18" s="6">
        <f>'Monthy Income Statements'!I$11</f>
        <v>20321.78</v>
      </c>
      <c r="D18" t="str">
        <f t="shared" si="0"/>
        <v>April</v>
      </c>
      <c r="E18" s="6">
        <f>'Monthy Income Statements'!I$12</f>
        <v>9486.7000000000007</v>
      </c>
      <c r="G18" s="139">
        <v>0</v>
      </c>
      <c r="H18" s="53">
        <f t="shared" si="1"/>
        <v>20321.78</v>
      </c>
      <c r="I18" s="53">
        <f t="shared" si="2"/>
        <v>9486.7000000000007</v>
      </c>
      <c r="J18" s="10">
        <v>0</v>
      </c>
    </row>
    <row r="19" spans="1:10">
      <c r="A19" t="s">
        <v>509</v>
      </c>
      <c r="B19" s="6">
        <f>'Monthy Income Statements'!J$11</f>
        <v>23605.96</v>
      </c>
      <c r="D19" t="str">
        <f t="shared" si="0"/>
        <v>May</v>
      </c>
      <c r="E19" s="6">
        <f>'Monthy Income Statements'!J$12</f>
        <v>8898.7900000000009</v>
      </c>
      <c r="G19" s="139">
        <v>0</v>
      </c>
      <c r="H19" s="53">
        <f t="shared" si="1"/>
        <v>23605.96</v>
      </c>
      <c r="I19" s="53">
        <f t="shared" si="2"/>
        <v>8898.7900000000009</v>
      </c>
      <c r="J19" s="10">
        <v>0</v>
      </c>
    </row>
    <row r="20" spans="1:10">
      <c r="A20" s="18" t="s">
        <v>508</v>
      </c>
      <c r="B20" s="6">
        <f>'Monthy Income Statements'!K$11</f>
        <v>26769.73</v>
      </c>
      <c r="D20" t="str">
        <f t="shared" si="0"/>
        <v>June</v>
      </c>
      <c r="E20" s="6">
        <f>'Monthy Income Statements'!K$12</f>
        <v>8989.1299999999992</v>
      </c>
      <c r="G20" s="139">
        <v>0</v>
      </c>
      <c r="H20" s="53">
        <f t="shared" si="1"/>
        <v>26769.73</v>
      </c>
      <c r="I20" s="53">
        <f t="shared" si="2"/>
        <v>8989.1299999999992</v>
      </c>
      <c r="J20" s="10">
        <v>0</v>
      </c>
    </row>
    <row r="21" spans="1:10">
      <c r="A21" t="s">
        <v>507</v>
      </c>
      <c r="B21" s="6">
        <f>'Monthy Income Statements'!L$11</f>
        <v>23864.05</v>
      </c>
      <c r="D21" t="str">
        <f t="shared" si="0"/>
        <v>July</v>
      </c>
      <c r="E21" s="6">
        <f>'Monthy Income Statements'!L$12</f>
        <v>10382.66</v>
      </c>
      <c r="G21" s="139">
        <v>0</v>
      </c>
      <c r="H21" s="53">
        <f t="shared" si="1"/>
        <v>23864.05</v>
      </c>
      <c r="I21" s="53">
        <f t="shared" si="2"/>
        <v>10382.66</v>
      </c>
      <c r="J21" s="10">
        <v>0</v>
      </c>
    </row>
    <row r="22" spans="1:10">
      <c r="A22" t="s">
        <v>506</v>
      </c>
      <c r="B22" s="6">
        <f>'Monthy Income Statements'!M$11</f>
        <v>20861.939999999999</v>
      </c>
      <c r="D22" t="str">
        <f t="shared" si="0"/>
        <v>August</v>
      </c>
      <c r="E22" s="6">
        <f>'Monthy Income Statements'!M$12</f>
        <v>10269.67</v>
      </c>
      <c r="G22" s="139">
        <v>0</v>
      </c>
      <c r="H22" s="53">
        <f t="shared" si="1"/>
        <v>20861.939999999999</v>
      </c>
      <c r="I22" s="53">
        <f t="shared" si="2"/>
        <v>10269.67</v>
      </c>
      <c r="J22" s="10">
        <v>0</v>
      </c>
    </row>
    <row r="23" spans="1:10">
      <c r="A23" s="18" t="s">
        <v>505</v>
      </c>
      <c r="B23" s="43">
        <f>'Monthy Income Statements'!N$11</f>
        <v>22363.19</v>
      </c>
      <c r="D23" t="str">
        <f t="shared" si="0"/>
        <v>September</v>
      </c>
      <c r="E23" s="43">
        <f>'Monthy Income Statements'!N$12</f>
        <v>10258.9</v>
      </c>
      <c r="G23" s="139">
        <v>0</v>
      </c>
      <c r="H23" s="57">
        <f t="shared" si="1"/>
        <v>22363.19</v>
      </c>
      <c r="I23" s="57">
        <f t="shared" si="2"/>
        <v>10258.9</v>
      </c>
      <c r="J23" s="10">
        <v>0</v>
      </c>
    </row>
    <row r="24" spans="1:10">
      <c r="A24" t="s">
        <v>118</v>
      </c>
      <c r="B24" s="6">
        <f>SUM(B12:B23)</f>
        <v>281255.37999999995</v>
      </c>
      <c r="D24" t="s">
        <v>118</v>
      </c>
      <c r="E24" s="6">
        <f>SUM(E12:E23)</f>
        <v>119568.62999999999</v>
      </c>
      <c r="H24" s="53">
        <f>SUM(H12:H23)</f>
        <v>284029.66524999996</v>
      </c>
      <c r="I24" s="53">
        <f>SUM(I12:I23)</f>
        <v>120521.7264</v>
      </c>
      <c r="J24" t="s">
        <v>583</v>
      </c>
    </row>
    <row r="25" spans="1:10">
      <c r="H25" s="57">
        <f>-B24</f>
        <v>-281255.37999999995</v>
      </c>
      <c r="I25" s="57">
        <f>-E24</f>
        <v>-119568.62999999999</v>
      </c>
      <c r="J25" t="s">
        <v>582</v>
      </c>
    </row>
    <row r="26" spans="1:10">
      <c r="H26" s="6"/>
      <c r="I26" s="6"/>
    </row>
    <row r="27" spans="1:10" ht="13.5" thickBot="1">
      <c r="H27" s="8">
        <f>+H24+H25</f>
        <v>2774.2852500000154</v>
      </c>
      <c r="I27" s="8">
        <f>+I24+I25</f>
        <v>953.09640000000945</v>
      </c>
      <c r="J27" t="s">
        <v>581</v>
      </c>
    </row>
    <row r="28" spans="1:10" ht="13.5" thickTop="1"/>
    <row r="30" spans="1:10">
      <c r="A30" s="18"/>
    </row>
    <row r="31" spans="1:10">
      <c r="B31" s="6"/>
      <c r="E31" s="6"/>
    </row>
    <row r="32" spans="1:10">
      <c r="B32" s="6"/>
      <c r="E32" s="6"/>
      <c r="G32" t="s">
        <v>326</v>
      </c>
    </row>
    <row r="33" spans="1:5">
      <c r="B33" s="6"/>
      <c r="E33" s="6"/>
    </row>
    <row r="34" spans="1:5">
      <c r="B34" s="6"/>
      <c r="E34" s="6"/>
    </row>
    <row r="35" spans="1:5">
      <c r="B35" s="6"/>
      <c r="E35" s="6"/>
    </row>
    <row r="36" spans="1:5">
      <c r="A36" s="18"/>
      <c r="B36" s="6"/>
      <c r="E36" s="6"/>
    </row>
    <row r="37" spans="1:5">
      <c r="B37" s="6"/>
      <c r="E37" s="6"/>
    </row>
    <row r="38" spans="1:5">
      <c r="B38" s="6"/>
      <c r="E38" s="6"/>
    </row>
    <row r="39" spans="1:5">
      <c r="A39" s="18"/>
      <c r="B39" s="6"/>
      <c r="E39" s="6"/>
    </row>
    <row r="40" spans="1:5">
      <c r="B40" s="6"/>
      <c r="E40" s="6"/>
    </row>
    <row r="41" spans="1:5">
      <c r="B41" s="6"/>
      <c r="E41" s="6"/>
    </row>
    <row r="42" spans="1:5">
      <c r="A42" s="18"/>
      <c r="B42" s="82"/>
      <c r="C42" s="18"/>
      <c r="D42" s="18"/>
      <c r="E42" s="82"/>
    </row>
  </sheetData>
  <pageMargins left="0.22" right="0.75" top="0.51" bottom="0.55000000000000004" header="0.5" footer="0.5"/>
  <pageSetup orientation="landscape" horizontalDpi="300" vertic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E4" sqref="E4"/>
    </sheetView>
  </sheetViews>
  <sheetFormatPr defaultRowHeight="12.75"/>
  <cols>
    <col min="1" max="1" width="28.85546875" customWidth="1"/>
    <col min="3" max="3" width="11.140625" bestFit="1" customWidth="1"/>
    <col min="4" max="4" width="10.28515625" bestFit="1" customWidth="1"/>
    <col min="5" max="5" width="12.42578125" customWidth="1"/>
    <col min="6" max="6" width="8.85546875" customWidth="1"/>
    <col min="7" max="7" width="12.140625" customWidth="1"/>
    <col min="8" max="8" width="11.140625" bestFit="1" customWidth="1"/>
  </cols>
  <sheetData>
    <row r="1" spans="1:8">
      <c r="A1" t="s">
        <v>0</v>
      </c>
    </row>
    <row r="3" spans="1:8">
      <c r="A3" t="s">
        <v>599</v>
      </c>
      <c r="D3" s="643" t="s">
        <v>1342</v>
      </c>
      <c r="E3" s="647" t="s">
        <v>689</v>
      </c>
    </row>
    <row r="5" spans="1:8">
      <c r="A5" s="642" t="s">
        <v>1435</v>
      </c>
    </row>
    <row r="9" spans="1:8">
      <c r="A9" s="127" t="s">
        <v>1460</v>
      </c>
    </row>
    <row r="10" spans="1:8">
      <c r="A10" s="127"/>
      <c r="D10" s="2" t="s">
        <v>598</v>
      </c>
    </row>
    <row r="11" spans="1:8">
      <c r="A11" s="127"/>
      <c r="C11" s="2" t="s">
        <v>2</v>
      </c>
      <c r="D11" s="2" t="s">
        <v>597</v>
      </c>
    </row>
    <row r="12" spans="1:8" ht="13.5" thickBot="1">
      <c r="C12" s="20" t="s">
        <v>596</v>
      </c>
      <c r="D12" s="20" t="s">
        <v>595</v>
      </c>
      <c r="E12" s="20" t="s">
        <v>2</v>
      </c>
      <c r="F12" s="93"/>
      <c r="G12" s="93"/>
      <c r="H12" s="93"/>
    </row>
    <row r="13" spans="1:8">
      <c r="C13" s="93"/>
      <c r="D13" s="93"/>
      <c r="E13" s="93"/>
      <c r="F13" s="93"/>
      <c r="G13" s="93"/>
      <c r="H13" s="93"/>
    </row>
    <row r="14" spans="1:8">
      <c r="A14" s="707" t="s">
        <v>1463</v>
      </c>
      <c r="C14" s="176">
        <f>+'Monthly Data-Disposal Fees'!H35</f>
        <v>867</v>
      </c>
      <c r="D14" s="231">
        <v>36.76</v>
      </c>
      <c r="E14" s="73">
        <f t="shared" ref="E14:E25" si="0">+C14*D14</f>
        <v>31870.92</v>
      </c>
      <c r="H14" s="230"/>
    </row>
    <row r="15" spans="1:8">
      <c r="A15" s="651" t="s">
        <v>1466</v>
      </c>
      <c r="C15" s="176">
        <f>+'Monthly Data-Disposal Fees'!H36</f>
        <v>818</v>
      </c>
      <c r="D15" s="231">
        <v>36.76</v>
      </c>
      <c r="E15" s="47">
        <f t="shared" si="0"/>
        <v>30069.679999999997</v>
      </c>
      <c r="H15" s="230"/>
    </row>
    <row r="16" spans="1:8">
      <c r="A16" s="651" t="s">
        <v>1465</v>
      </c>
      <c r="C16" s="176">
        <f>+'Monthly Data-Disposal Fees'!H37</f>
        <v>828</v>
      </c>
      <c r="D16" s="231">
        <v>36.76</v>
      </c>
      <c r="E16" s="47">
        <f t="shared" si="0"/>
        <v>30437.279999999999</v>
      </c>
      <c r="H16" s="230"/>
    </row>
    <row r="17" spans="1:8">
      <c r="A17" t="s">
        <v>513</v>
      </c>
      <c r="C17" s="176">
        <f>+'Monthly Data-Disposal Fees'!H38</f>
        <v>723</v>
      </c>
      <c r="D17" s="231">
        <v>37.79</v>
      </c>
      <c r="E17" s="47">
        <f t="shared" si="0"/>
        <v>27322.17</v>
      </c>
      <c r="F17" s="236"/>
      <c r="H17" s="230"/>
    </row>
    <row r="18" spans="1:8">
      <c r="A18" t="s">
        <v>512</v>
      </c>
      <c r="C18" s="176">
        <f>+'Monthly Data-Disposal Fees'!H39</f>
        <v>641</v>
      </c>
      <c r="D18" s="231">
        <v>37.79</v>
      </c>
      <c r="E18" s="47">
        <f t="shared" si="0"/>
        <v>24223.39</v>
      </c>
      <c r="F18" s="236"/>
      <c r="H18" s="230"/>
    </row>
    <row r="19" spans="1:8">
      <c r="A19" t="s">
        <v>511</v>
      </c>
      <c r="C19" s="176">
        <f>+'Monthly Data-Disposal Fees'!H40</f>
        <v>831</v>
      </c>
      <c r="D19" s="231">
        <v>37.79</v>
      </c>
      <c r="E19" s="47">
        <f t="shared" si="0"/>
        <v>31403.489999999998</v>
      </c>
      <c r="F19" s="236"/>
      <c r="H19" s="230"/>
    </row>
    <row r="20" spans="1:8">
      <c r="A20" t="s">
        <v>510</v>
      </c>
      <c r="C20" s="176">
        <f>+'Monthly Data-Disposal Fees'!H41</f>
        <v>820</v>
      </c>
      <c r="D20" s="231">
        <v>37.79</v>
      </c>
      <c r="E20" s="47">
        <f t="shared" si="0"/>
        <v>30987.8</v>
      </c>
      <c r="F20" s="236"/>
      <c r="H20" s="230"/>
    </row>
    <row r="21" spans="1:8">
      <c r="A21" t="s">
        <v>509</v>
      </c>
      <c r="C21" s="176">
        <f>+'Monthly Data-Disposal Fees'!H42</f>
        <v>972</v>
      </c>
      <c r="D21" s="231">
        <v>37.79</v>
      </c>
      <c r="E21" s="47">
        <f t="shared" si="0"/>
        <v>36731.879999999997</v>
      </c>
      <c r="F21" s="236"/>
      <c r="H21" s="230"/>
    </row>
    <row r="22" spans="1:8">
      <c r="A22" t="s">
        <v>508</v>
      </c>
      <c r="C22" s="176">
        <f>+'Monthly Data-Disposal Fees'!H43</f>
        <v>1223</v>
      </c>
      <c r="D22" s="231">
        <v>37.79</v>
      </c>
      <c r="E22" s="47">
        <f t="shared" si="0"/>
        <v>46217.17</v>
      </c>
      <c r="F22" s="236"/>
      <c r="H22" s="230"/>
    </row>
    <row r="23" spans="1:8">
      <c r="A23" t="s">
        <v>507</v>
      </c>
      <c r="C23" s="176">
        <f>+'Monthly Data-Disposal Fees'!H44</f>
        <v>1217</v>
      </c>
      <c r="D23" s="231">
        <v>37.79</v>
      </c>
      <c r="E23" s="47">
        <f t="shared" si="0"/>
        <v>45990.43</v>
      </c>
      <c r="F23" s="236"/>
      <c r="G23" s="236"/>
      <c r="H23" s="230"/>
    </row>
    <row r="24" spans="1:8">
      <c r="A24" t="s">
        <v>506</v>
      </c>
      <c r="C24" s="176">
        <f>+'Monthly Data-Disposal Fees'!H45</f>
        <v>1312</v>
      </c>
      <c r="D24" s="231">
        <v>37.79</v>
      </c>
      <c r="E24" s="47">
        <f t="shared" si="0"/>
        <v>49580.479999999996</v>
      </c>
      <c r="F24" s="236"/>
      <c r="G24" s="236"/>
      <c r="H24" s="230"/>
    </row>
    <row r="25" spans="1:8" ht="13.5" thickBot="1">
      <c r="A25" t="s">
        <v>505</v>
      </c>
      <c r="C25" s="238">
        <f>+'Monthly Data-Disposal Fees'!H46</f>
        <v>1149</v>
      </c>
      <c r="D25" s="231">
        <v>37.79</v>
      </c>
      <c r="E25" s="237">
        <f t="shared" si="0"/>
        <v>43420.71</v>
      </c>
      <c r="F25" s="236"/>
      <c r="G25" s="236"/>
      <c r="H25" s="230"/>
    </row>
    <row r="26" spans="1:8">
      <c r="C26" s="122"/>
      <c r="D26" s="230"/>
      <c r="E26" s="230"/>
      <c r="F26" s="230"/>
      <c r="G26" s="230"/>
      <c r="H26" s="230"/>
    </row>
    <row r="27" spans="1:8">
      <c r="B27" t="s">
        <v>2</v>
      </c>
      <c r="C27" s="166">
        <f>SUM(C14:C25)</f>
        <v>11401</v>
      </c>
      <c r="D27" s="230"/>
      <c r="E27" s="229">
        <f>SUM(E14:E25)</f>
        <v>428255.39999999997</v>
      </c>
      <c r="F27" s="230"/>
      <c r="G27" s="230"/>
      <c r="H27" s="230"/>
    </row>
    <row r="28" spans="1:8">
      <c r="D28" s="18"/>
      <c r="E28" s="18"/>
      <c r="F28" s="18"/>
      <c r="G28" s="18"/>
      <c r="H28" s="18"/>
    </row>
    <row r="29" spans="1:8">
      <c r="D29" s="18"/>
      <c r="E29" s="18"/>
      <c r="F29" s="18"/>
      <c r="G29" s="18"/>
      <c r="H29" s="226"/>
    </row>
    <row r="30" spans="1:8">
      <c r="A30" s="643" t="s">
        <v>1461</v>
      </c>
      <c r="B30" s="63"/>
      <c r="C30" s="228">
        <v>39.590000000000003</v>
      </c>
      <c r="D30" s="226"/>
      <c r="E30" s="226"/>
      <c r="F30" s="226"/>
      <c r="G30" s="226"/>
      <c r="H30" s="226"/>
    </row>
    <row r="31" spans="1:8">
      <c r="D31" s="18"/>
      <c r="E31" s="18"/>
      <c r="F31" s="18"/>
      <c r="G31" s="18"/>
      <c r="H31" s="82"/>
    </row>
    <row r="32" spans="1:8">
      <c r="A32" s="643" t="s">
        <v>1462</v>
      </c>
      <c r="D32" s="226"/>
      <c r="E32" s="227">
        <f>+C27*C30</f>
        <v>451365.59</v>
      </c>
      <c r="F32" s="226"/>
      <c r="G32" s="226"/>
      <c r="H32" s="226"/>
    </row>
    <row r="33" spans="1:8">
      <c r="D33" s="18"/>
      <c r="F33" s="18"/>
      <c r="G33" s="18"/>
      <c r="H33" s="18"/>
    </row>
    <row r="34" spans="1:8" ht="13.5" thickBot="1">
      <c r="A34" t="s">
        <v>589</v>
      </c>
      <c r="D34" s="226"/>
      <c r="E34" s="223">
        <f>+E32-E27</f>
        <v>23110.190000000061</v>
      </c>
      <c r="F34" s="226"/>
      <c r="G34" s="226"/>
      <c r="H34" s="226"/>
    </row>
    <row r="35" spans="1:8" ht="13.5" thickTop="1">
      <c r="D35" s="226"/>
      <c r="E35" s="226"/>
      <c r="F35" s="226"/>
      <c r="G35" s="226"/>
      <c r="H35" s="226"/>
    </row>
    <row r="36" spans="1:8">
      <c r="D36" s="18"/>
      <c r="F36" s="18"/>
      <c r="G36" s="18"/>
      <c r="H36" s="18"/>
    </row>
    <row r="37" spans="1:8">
      <c r="A37" s="127"/>
      <c r="B37" s="127"/>
      <c r="C37" s="127"/>
      <c r="D37" s="235"/>
      <c r="E37" s="235"/>
      <c r="F37" s="18"/>
      <c r="G37" s="18"/>
      <c r="H37" s="18"/>
    </row>
    <row r="38" spans="1:8">
      <c r="A38" s="127" t="s">
        <v>1317</v>
      </c>
      <c r="F38" s="18"/>
      <c r="G38" s="18"/>
      <c r="H38" s="18"/>
    </row>
    <row r="39" spans="1:8">
      <c r="A39" s="127"/>
      <c r="C39" s="629">
        <v>2021</v>
      </c>
      <c r="F39" s="2"/>
      <c r="H39" s="18"/>
    </row>
    <row r="40" spans="1:8">
      <c r="A40" s="127"/>
      <c r="C40" s="90" t="s">
        <v>594</v>
      </c>
      <c r="D40" s="83" t="s">
        <v>593</v>
      </c>
      <c r="E40" s="2" t="s">
        <v>2</v>
      </c>
      <c r="F40" s="90" t="s">
        <v>592</v>
      </c>
      <c r="H40" s="18"/>
    </row>
    <row r="41" spans="1:8" ht="13.5" thickBot="1">
      <c r="C41" s="92" t="s">
        <v>591</v>
      </c>
      <c r="D41" s="234" t="s">
        <v>590</v>
      </c>
      <c r="E41" s="92" t="s">
        <v>521</v>
      </c>
      <c r="F41" s="92" t="s">
        <v>590</v>
      </c>
      <c r="G41" s="20" t="s">
        <v>2</v>
      </c>
      <c r="H41" s="18"/>
    </row>
    <row r="42" spans="1:8">
      <c r="C42" s="93"/>
      <c r="F42" s="93"/>
      <c r="G42" s="93"/>
    </row>
    <row r="43" spans="1:8">
      <c r="A43" s="651" t="s">
        <v>1463</v>
      </c>
      <c r="C43" s="87">
        <f>'Monthly Data-Disposal Fees'!$Q12</f>
        <v>25043.72</v>
      </c>
      <c r="D43" s="231">
        <v>81.5</v>
      </c>
      <c r="E43" s="232">
        <f t="shared" ref="E43:E54" si="1">C43/D43</f>
        <v>307.28490797546016</v>
      </c>
      <c r="F43" s="231">
        <v>81.5</v>
      </c>
      <c r="G43" s="73">
        <f t="shared" ref="G43:G54" si="2">+E43*F43</f>
        <v>25043.72</v>
      </c>
    </row>
    <row r="44" spans="1:8">
      <c r="A44" s="651" t="s">
        <v>1464</v>
      </c>
      <c r="C44" s="87">
        <f>'Monthly Data-Disposal Fees'!$Q13</f>
        <v>26020.080000000002</v>
      </c>
      <c r="D44" s="231">
        <v>81.5</v>
      </c>
      <c r="E44" s="232">
        <f t="shared" si="1"/>
        <v>319.26478527607367</v>
      </c>
      <c r="F44" s="231">
        <v>81.5</v>
      </c>
      <c r="G44" s="73">
        <f t="shared" si="2"/>
        <v>26020.080000000005</v>
      </c>
    </row>
    <row r="45" spans="1:8">
      <c r="A45" s="651" t="s">
        <v>1465</v>
      </c>
      <c r="C45" s="87">
        <f>'Monthly Data-Disposal Fees'!$Q14</f>
        <v>13207.22</v>
      </c>
      <c r="D45" s="231">
        <v>81.5</v>
      </c>
      <c r="E45" s="232">
        <f t="shared" si="1"/>
        <v>162.05177914110428</v>
      </c>
      <c r="F45" s="231">
        <v>81.5</v>
      </c>
      <c r="G45" s="73">
        <f t="shared" si="2"/>
        <v>13207.22</v>
      </c>
    </row>
    <row r="46" spans="1:8">
      <c r="A46" t="s">
        <v>513</v>
      </c>
      <c r="C46" s="87">
        <f>'Monthly Data-Disposal Fees'!$Q15</f>
        <v>12940.14</v>
      </c>
      <c r="D46" s="231">
        <v>81.5</v>
      </c>
      <c r="E46" s="232">
        <f t="shared" si="1"/>
        <v>158.77472392638037</v>
      </c>
      <c r="F46" s="231">
        <v>81.5</v>
      </c>
      <c r="G46" s="73">
        <f t="shared" si="2"/>
        <v>12940.140000000001</v>
      </c>
    </row>
    <row r="47" spans="1:8">
      <c r="A47" t="s">
        <v>512</v>
      </c>
      <c r="C47" s="87">
        <f>'Monthly Data-Disposal Fees'!$Q16</f>
        <v>12589.279999999999</v>
      </c>
      <c r="D47" s="231">
        <v>81.5</v>
      </c>
      <c r="E47" s="232">
        <f t="shared" si="1"/>
        <v>154.46969325153373</v>
      </c>
      <c r="F47" s="231">
        <v>81.5</v>
      </c>
      <c r="G47" s="73">
        <f t="shared" si="2"/>
        <v>12589.279999999999</v>
      </c>
    </row>
    <row r="48" spans="1:8">
      <c r="A48" t="s">
        <v>511</v>
      </c>
      <c r="C48" s="87">
        <f>'Monthly Data-Disposal Fees'!$Q17</f>
        <v>18046.11</v>
      </c>
      <c r="D48" s="231">
        <v>81.5</v>
      </c>
      <c r="E48" s="232">
        <f t="shared" si="1"/>
        <v>221.42466257668713</v>
      </c>
      <c r="F48" s="231">
        <v>81.5</v>
      </c>
      <c r="G48" s="73">
        <f t="shared" si="2"/>
        <v>18046.11</v>
      </c>
    </row>
    <row r="49" spans="1:7">
      <c r="A49" t="s">
        <v>510</v>
      </c>
      <c r="C49" s="87">
        <f>'Monthly Data-Disposal Fees'!$Q18</f>
        <v>17557.52</v>
      </c>
      <c r="D49" s="231">
        <v>81.5</v>
      </c>
      <c r="E49" s="232">
        <f t="shared" si="1"/>
        <v>215.42969325153373</v>
      </c>
      <c r="F49" s="231">
        <v>81.5</v>
      </c>
      <c r="G49" s="73">
        <f t="shared" si="2"/>
        <v>17557.52</v>
      </c>
    </row>
    <row r="50" spans="1:7">
      <c r="A50" t="s">
        <v>509</v>
      </c>
      <c r="C50" s="87">
        <f>'Monthly Data-Disposal Fees'!$Q19</f>
        <v>24212</v>
      </c>
      <c r="D50" s="231">
        <v>81.5</v>
      </c>
      <c r="E50" s="232">
        <f t="shared" si="1"/>
        <v>297.07975460122697</v>
      </c>
      <c r="F50" s="231">
        <v>81.5</v>
      </c>
      <c r="G50" s="73">
        <f t="shared" si="2"/>
        <v>24211.999999999996</v>
      </c>
    </row>
    <row r="51" spans="1:7">
      <c r="A51" t="s">
        <v>508</v>
      </c>
      <c r="C51" s="87">
        <f>'Monthly Data-Disposal Fees'!$Q20</f>
        <v>23656.170000000002</v>
      </c>
      <c r="D51" s="231">
        <v>81.5</v>
      </c>
      <c r="E51" s="232">
        <f t="shared" si="1"/>
        <v>290.25975460122703</v>
      </c>
      <c r="F51" s="231">
        <v>81.5</v>
      </c>
      <c r="G51" s="73">
        <f t="shared" si="2"/>
        <v>23656.170000000002</v>
      </c>
    </row>
    <row r="52" spans="1:7">
      <c r="A52" t="s">
        <v>507</v>
      </c>
      <c r="C52" s="87">
        <f>'Monthly Data-Disposal Fees'!$Q21</f>
        <v>24599.940000000002</v>
      </c>
      <c r="D52" s="231">
        <v>81.5</v>
      </c>
      <c r="E52" s="232">
        <f t="shared" si="1"/>
        <v>301.83975460122701</v>
      </c>
      <c r="F52" s="231">
        <v>81.5</v>
      </c>
      <c r="G52" s="73">
        <f t="shared" si="2"/>
        <v>24599.940000000002</v>
      </c>
    </row>
    <row r="53" spans="1:7">
      <c r="A53" t="s">
        <v>506</v>
      </c>
      <c r="C53" s="87">
        <f>'Monthly Data-Disposal Fees'!$Q22</f>
        <v>28822.46</v>
      </c>
      <c r="D53" s="231">
        <v>81.5</v>
      </c>
      <c r="E53" s="232">
        <f t="shared" si="1"/>
        <v>353.64981595092024</v>
      </c>
      <c r="F53" s="231">
        <v>81.5</v>
      </c>
      <c r="G53" s="73">
        <f t="shared" si="2"/>
        <v>28822.46</v>
      </c>
    </row>
    <row r="54" spans="1:7" ht="13.5" thickBot="1">
      <c r="A54" t="s">
        <v>505</v>
      </c>
      <c r="C54" s="233">
        <f>'Monthly Data-Disposal Fees'!$Q23</f>
        <v>24504.67</v>
      </c>
      <c r="D54" s="231">
        <v>81.5</v>
      </c>
      <c r="E54" s="232">
        <f t="shared" si="1"/>
        <v>300.67079754601224</v>
      </c>
      <c r="F54" s="231">
        <v>81.5</v>
      </c>
      <c r="G54" s="103">
        <f t="shared" si="2"/>
        <v>24504.67</v>
      </c>
    </row>
    <row r="55" spans="1:7">
      <c r="C55" s="6"/>
      <c r="F55" s="230"/>
      <c r="G55" s="230"/>
    </row>
    <row r="56" spans="1:7">
      <c r="B56" t="s">
        <v>2</v>
      </c>
      <c r="C56" s="43">
        <f>SUM(C43:C54)</f>
        <v>251199.31</v>
      </c>
      <c r="F56" s="230"/>
      <c r="G56" s="229">
        <f>SUM(G43:G54)</f>
        <v>251199.31</v>
      </c>
    </row>
    <row r="57" spans="1:7">
      <c r="F57" s="18"/>
      <c r="G57" s="18"/>
    </row>
    <row r="58" spans="1:7">
      <c r="F58" s="18"/>
      <c r="G58" s="18"/>
    </row>
    <row r="59" spans="1:7">
      <c r="A59" s="83" t="s">
        <v>1290</v>
      </c>
      <c r="B59" s="63"/>
      <c r="C59" s="228">
        <v>81.5</v>
      </c>
      <c r="F59" s="226"/>
      <c r="G59" s="226"/>
    </row>
    <row r="60" spans="1:7">
      <c r="F60" s="18"/>
      <c r="G60" s="18"/>
    </row>
    <row r="61" spans="1:7">
      <c r="A61" s="643" t="s">
        <v>1467</v>
      </c>
      <c r="F61" s="226"/>
      <c r="G61" s="227">
        <f>+C56</f>
        <v>251199.31</v>
      </c>
    </row>
    <row r="62" spans="1:7">
      <c r="F62" s="18"/>
    </row>
    <row r="63" spans="1:7" ht="13.5" thickBot="1">
      <c r="A63" t="s">
        <v>589</v>
      </c>
      <c r="F63" s="226"/>
      <c r="G63" s="223">
        <f>+G56-G61</f>
        <v>0</v>
      </c>
    </row>
    <row r="64" spans="1:7" ht="13.5" thickTop="1">
      <c r="F64" s="226"/>
      <c r="G64" s="226"/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U115"/>
  <sheetViews>
    <sheetView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E15" sqref="E15"/>
    </sheetView>
  </sheetViews>
  <sheetFormatPr defaultRowHeight="12.75"/>
  <cols>
    <col min="1" max="1" width="5.28515625" customWidth="1"/>
    <col min="2" max="2" width="27.42578125" customWidth="1"/>
    <col min="3" max="3" width="14.42578125" customWidth="1"/>
    <col min="4" max="4" width="4.85546875" customWidth="1"/>
    <col min="5" max="5" width="13.28515625" customWidth="1"/>
    <col min="6" max="6" width="14.140625" customWidth="1"/>
    <col min="7" max="7" width="5.42578125" customWidth="1"/>
    <col min="8" max="8" width="11.140625" customWidth="1"/>
    <col min="9" max="9" width="8.5703125" customWidth="1"/>
    <col min="10" max="10" width="14.28515625" customWidth="1"/>
    <col min="11" max="13" width="13" customWidth="1"/>
    <col min="14" max="14" width="14.28515625" customWidth="1"/>
    <col min="15" max="15" width="11.28515625" customWidth="1"/>
    <col min="16" max="16" width="13" customWidth="1"/>
    <col min="19" max="20" width="10.42578125" customWidth="1"/>
    <col min="21" max="21" width="10.7109375" customWidth="1"/>
  </cols>
  <sheetData>
    <row r="1" spans="1:21">
      <c r="A1" t="s">
        <v>0</v>
      </c>
    </row>
    <row r="3" spans="1:21">
      <c r="A3" t="s">
        <v>253</v>
      </c>
      <c r="C3" s="643" t="s">
        <v>1342</v>
      </c>
      <c r="D3" s="643" t="s">
        <v>689</v>
      </c>
    </row>
    <row r="4" spans="1:21">
      <c r="O4">
        <f>+O21/(N21-N15)</f>
        <v>4.1520082055893366E-2</v>
      </c>
    </row>
    <row r="5" spans="1:21">
      <c r="A5" s="666" t="s">
        <v>1434</v>
      </c>
      <c r="N5" s="115" t="s">
        <v>88</v>
      </c>
    </row>
    <row r="6" spans="1:21">
      <c r="A6" s="1"/>
      <c r="I6" s="2" t="s">
        <v>90</v>
      </c>
      <c r="L6" s="2" t="s">
        <v>90</v>
      </c>
      <c r="M6" s="2" t="s">
        <v>90</v>
      </c>
      <c r="N6" s="115" t="s">
        <v>96</v>
      </c>
      <c r="O6" s="2" t="s">
        <v>97</v>
      </c>
      <c r="P6" s="2" t="s">
        <v>100</v>
      </c>
    </row>
    <row r="7" spans="1:21">
      <c r="C7" s="2" t="s">
        <v>84</v>
      </c>
      <c r="E7" s="2" t="s">
        <v>85</v>
      </c>
      <c r="F7" s="2" t="s">
        <v>84</v>
      </c>
      <c r="H7" s="2" t="s">
        <v>88</v>
      </c>
      <c r="I7" s="90" t="s">
        <v>91</v>
      </c>
      <c r="J7" s="2" t="s">
        <v>88</v>
      </c>
      <c r="K7" s="2" t="s">
        <v>94</v>
      </c>
      <c r="L7" s="90" t="s">
        <v>337</v>
      </c>
      <c r="M7" s="90" t="s">
        <v>339</v>
      </c>
      <c r="N7" s="116" t="s">
        <v>342</v>
      </c>
      <c r="O7" s="2" t="s">
        <v>98</v>
      </c>
      <c r="P7" s="2" t="s">
        <v>101</v>
      </c>
    </row>
    <row r="8" spans="1:21" ht="13.5" thickBot="1">
      <c r="C8" s="667">
        <v>44834</v>
      </c>
      <c r="D8" s="9"/>
      <c r="E8" s="4" t="s">
        <v>86</v>
      </c>
      <c r="F8" s="4" t="s">
        <v>87</v>
      </c>
      <c r="G8" s="9"/>
      <c r="H8" s="9" t="s">
        <v>89</v>
      </c>
      <c r="I8" s="91" t="s">
        <v>92</v>
      </c>
      <c r="J8" s="4" t="s">
        <v>93</v>
      </c>
      <c r="K8" s="4" t="s">
        <v>95</v>
      </c>
      <c r="L8" s="91" t="s">
        <v>338</v>
      </c>
      <c r="M8" s="91" t="s">
        <v>338</v>
      </c>
      <c r="N8" s="117" t="s">
        <v>95</v>
      </c>
      <c r="O8" s="4" t="s">
        <v>99</v>
      </c>
      <c r="P8" s="4" t="s">
        <v>99</v>
      </c>
      <c r="S8" s="68" t="s">
        <v>297</v>
      </c>
    </row>
    <row r="9" spans="1:21" ht="13.5" thickTop="1">
      <c r="N9" s="118"/>
    </row>
    <row r="10" spans="1:21">
      <c r="A10" t="s">
        <v>3</v>
      </c>
      <c r="N10" s="118"/>
    </row>
    <row r="11" spans="1:21">
      <c r="A11">
        <v>3100</v>
      </c>
      <c r="B11" t="s">
        <v>5</v>
      </c>
      <c r="C11" s="112">
        <f>+'Monthy Income Statements'!O10</f>
        <v>2021399.1700000002</v>
      </c>
      <c r="E11" s="112"/>
      <c r="F11" s="112">
        <f t="shared" ref="F11:F19" si="0">+C11+E11</f>
        <v>2021399.1700000002</v>
      </c>
      <c r="G11">
        <v>9</v>
      </c>
      <c r="H11" s="112">
        <f>+'Proforma AJEs'!H54</f>
        <v>0</v>
      </c>
      <c r="J11" s="112">
        <f t="shared" ref="J11:J19" si="1">+F11+H11+I11</f>
        <v>2021399.1700000002</v>
      </c>
      <c r="K11" s="112"/>
      <c r="L11" s="112"/>
      <c r="M11" s="112"/>
      <c r="N11" s="119">
        <f>+J11+K11+L11+M11</f>
        <v>2021399.1700000002</v>
      </c>
      <c r="O11" s="112">
        <f>+SUM(S11:U11)</f>
        <v>87725.000000000015</v>
      </c>
      <c r="P11" s="112">
        <f t="shared" ref="P11:P19" si="2">+N11+O11</f>
        <v>2109124.1700000004</v>
      </c>
      <c r="S11" s="6">
        <f>IF('Results of Operations Regulated'!$E$1=0,0,'Results of Operations Regulated'!$E$11)</f>
        <v>87725.000000000015</v>
      </c>
      <c r="T11" s="6">
        <f>IF('Results of Operations Regulated'!$H$1=0,0,'Results of Operations Regulated'!$H$11)</f>
        <v>0</v>
      </c>
      <c r="U11" s="6">
        <f>IF('Results of Operations Regulated'!$K$1=0,0,'Results of Operations Regulated'!$K$11)</f>
        <v>0</v>
      </c>
    </row>
    <row r="12" spans="1:21">
      <c r="A12">
        <v>3112</v>
      </c>
      <c r="B12" t="s">
        <v>6</v>
      </c>
      <c r="C12" s="112">
        <f>+'Monthy Income Statements'!O11</f>
        <v>281255.37999999995</v>
      </c>
      <c r="E12" s="112"/>
      <c r="F12" s="112">
        <f t="shared" si="0"/>
        <v>281255.37999999995</v>
      </c>
      <c r="G12">
        <v>6</v>
      </c>
      <c r="H12" s="112">
        <f>+'Proforma AJEs'!H38</f>
        <v>2774.2852500000154</v>
      </c>
      <c r="J12" s="112">
        <f t="shared" si="1"/>
        <v>284029.66524999996</v>
      </c>
      <c r="K12" s="112">
        <f>-'Cost Allocations-Contracts'!I13</f>
        <v>-284029.66524999996</v>
      </c>
      <c r="L12" s="112"/>
      <c r="M12" s="112"/>
      <c r="N12" s="119">
        <f t="shared" ref="N12:N18" si="3">+J12+K12+L12+M12</f>
        <v>0</v>
      </c>
      <c r="O12" s="112"/>
      <c r="P12" s="112">
        <f t="shared" si="2"/>
        <v>0</v>
      </c>
    </row>
    <row r="13" spans="1:21">
      <c r="A13">
        <v>3114</v>
      </c>
      <c r="B13" t="s">
        <v>7</v>
      </c>
      <c r="C13" s="112">
        <f>+'Monthy Income Statements'!O12</f>
        <v>119568.62999999999</v>
      </c>
      <c r="E13" s="112"/>
      <c r="F13" s="112">
        <f t="shared" si="0"/>
        <v>119568.62999999999</v>
      </c>
      <c r="G13">
        <v>6</v>
      </c>
      <c r="H13" s="112">
        <f>+'Proforma AJEs'!H39</f>
        <v>953.09640000000945</v>
      </c>
      <c r="J13" s="112">
        <f t="shared" si="1"/>
        <v>120521.7264</v>
      </c>
      <c r="K13" s="112">
        <f>-'Cost Allocations-Contracts'!L14</f>
        <v>-120521.7264</v>
      </c>
      <c r="L13" s="112"/>
      <c r="M13" s="112"/>
      <c r="N13" s="119">
        <f t="shared" si="3"/>
        <v>0</v>
      </c>
      <c r="O13" s="112"/>
      <c r="P13" s="112">
        <f t="shared" si="2"/>
        <v>0</v>
      </c>
    </row>
    <row r="14" spans="1:21">
      <c r="A14">
        <v>3300</v>
      </c>
      <c r="B14" t="s">
        <v>8</v>
      </c>
      <c r="C14" s="112">
        <f>+'Monthy Income Statements'!O13</f>
        <v>241108.40100000001</v>
      </c>
      <c r="E14" s="112"/>
      <c r="F14" s="112">
        <f t="shared" si="0"/>
        <v>241108.40100000001</v>
      </c>
      <c r="G14">
        <v>9</v>
      </c>
      <c r="H14" s="112">
        <f>+'Proforma AJEs'!H60</f>
        <v>0</v>
      </c>
      <c r="J14" s="112">
        <f t="shared" si="1"/>
        <v>241108.40100000001</v>
      </c>
      <c r="K14" s="112"/>
      <c r="L14" s="112"/>
      <c r="M14" s="112"/>
      <c r="N14" s="119">
        <f t="shared" si="3"/>
        <v>241108.40100000001</v>
      </c>
      <c r="O14" s="112">
        <f>+SUM(S14:U14)</f>
        <v>6214.4999999999854</v>
      </c>
      <c r="P14" s="112">
        <f t="shared" si="2"/>
        <v>247322.90100000001</v>
      </c>
      <c r="S14" s="6">
        <f>IF('Results of Operations Regulated'!$E$1=0,0,'Results of Operations Regulated'!$E$14)</f>
        <v>6214.4999999999854</v>
      </c>
      <c r="T14" s="6">
        <f>IF('Results of Operations Regulated'!$H$1=0,0,'Results of Operations Regulated'!$H$14)</f>
        <v>0</v>
      </c>
      <c r="U14" s="6">
        <f>IF('Results of Operations Regulated'!$K$1=0,0,'Results of Operations Regulated'!$K$14)</f>
        <v>0</v>
      </c>
    </row>
    <row r="15" spans="1:21">
      <c r="A15">
        <v>3310</v>
      </c>
      <c r="B15" t="s">
        <v>9</v>
      </c>
      <c r="C15" s="112">
        <f>+'Monthy Income Statements'!O14</f>
        <v>364912.47</v>
      </c>
      <c r="D15">
        <v>4</v>
      </c>
      <c r="E15" s="112">
        <f>-'Restating AJEs'!I36</f>
        <v>1018.5000000000146</v>
      </c>
      <c r="F15" s="112">
        <f t="shared" si="0"/>
        <v>365930.97</v>
      </c>
      <c r="H15" s="112"/>
      <c r="J15" s="112">
        <f t="shared" si="1"/>
        <v>365930.97</v>
      </c>
      <c r="K15" s="112"/>
      <c r="L15" s="112"/>
      <c r="M15" s="112"/>
      <c r="N15" s="119">
        <f t="shared" si="3"/>
        <v>365930.97</v>
      </c>
      <c r="O15" s="112"/>
      <c r="P15" s="112">
        <f t="shared" si="2"/>
        <v>365930.97</v>
      </c>
    </row>
    <row r="16" spans="1:21">
      <c r="A16">
        <v>3410</v>
      </c>
      <c r="B16" t="s">
        <v>327</v>
      </c>
      <c r="C16" s="112">
        <f>+'Monthy Income Statements'!O15</f>
        <v>77041.150000000009</v>
      </c>
      <c r="E16" s="112"/>
      <c r="F16" s="112">
        <f t="shared" si="0"/>
        <v>77041.150000000009</v>
      </c>
      <c r="H16" s="112"/>
      <c r="J16" s="112">
        <f t="shared" si="1"/>
        <v>77041.150000000009</v>
      </c>
      <c r="K16" s="112"/>
      <c r="L16" s="112"/>
      <c r="M16" s="112">
        <f>-'Cost Allocations-Recycle'!M17</f>
        <v>-77041.150000000009</v>
      </c>
      <c r="N16" s="119">
        <f t="shared" si="3"/>
        <v>0</v>
      </c>
      <c r="O16" s="112"/>
      <c r="P16" s="112">
        <f t="shared" si="2"/>
        <v>0</v>
      </c>
    </row>
    <row r="17" spans="1:16">
      <c r="A17">
        <v>3450</v>
      </c>
      <c r="B17" t="s">
        <v>328</v>
      </c>
      <c r="C17" s="112">
        <f>+'Monthy Income Statements'!O16</f>
        <v>47391.199999999997</v>
      </c>
      <c r="E17" s="112"/>
      <c r="F17" s="112">
        <f t="shared" si="0"/>
        <v>47391.199999999997</v>
      </c>
      <c r="H17" s="112"/>
      <c r="J17" s="112">
        <f t="shared" si="1"/>
        <v>47391.199999999997</v>
      </c>
      <c r="K17" s="112"/>
      <c r="L17" s="112">
        <f>-'Cost Allocations-Recycle'!J18</f>
        <v>-47391.199999999997</v>
      </c>
      <c r="M17" s="112"/>
      <c r="N17" s="119">
        <f t="shared" si="3"/>
        <v>0</v>
      </c>
      <c r="O17" s="112"/>
      <c r="P17" s="112">
        <f t="shared" si="2"/>
        <v>0</v>
      </c>
    </row>
    <row r="18" spans="1:16">
      <c r="A18">
        <v>3460</v>
      </c>
      <c r="B18" t="s">
        <v>10</v>
      </c>
      <c r="C18" s="112">
        <f>+'Monthy Income Statements'!O17</f>
        <v>0</v>
      </c>
      <c r="E18" s="112"/>
      <c r="F18" s="112">
        <f t="shared" si="0"/>
        <v>0</v>
      </c>
      <c r="H18" s="112"/>
      <c r="J18" s="112">
        <f t="shared" si="1"/>
        <v>0</v>
      </c>
      <c r="K18" s="112"/>
      <c r="L18" s="112"/>
      <c r="M18" s="112"/>
      <c r="N18" s="119">
        <f t="shared" si="3"/>
        <v>0</v>
      </c>
      <c r="O18" s="112"/>
      <c r="P18" s="112">
        <f t="shared" si="2"/>
        <v>0</v>
      </c>
    </row>
    <row r="19" spans="1:16" ht="13.5" thickBot="1">
      <c r="A19">
        <v>3500</v>
      </c>
      <c r="B19" t="s">
        <v>11</v>
      </c>
      <c r="C19" s="113">
        <f>+'Monthy Income Statements'!O18</f>
        <v>0</v>
      </c>
      <c r="D19" s="5"/>
      <c r="E19" s="113"/>
      <c r="F19" s="113">
        <f t="shared" si="0"/>
        <v>0</v>
      </c>
      <c r="G19" s="5"/>
      <c r="H19" s="113"/>
      <c r="I19" s="48">
        <v>0</v>
      </c>
      <c r="J19" s="113">
        <f t="shared" si="1"/>
        <v>0</v>
      </c>
      <c r="K19" s="113"/>
      <c r="L19" s="113"/>
      <c r="M19" s="113"/>
      <c r="N19" s="120">
        <f>+J19+K19+L19+M19</f>
        <v>0</v>
      </c>
      <c r="O19" s="113"/>
      <c r="P19" s="113">
        <f t="shared" si="2"/>
        <v>0</v>
      </c>
    </row>
    <row r="20" spans="1:16">
      <c r="C20" s="112"/>
      <c r="E20" s="112"/>
      <c r="F20" s="112"/>
      <c r="H20" s="112"/>
      <c r="J20" s="112"/>
      <c r="K20" s="112"/>
      <c r="L20" s="112"/>
      <c r="M20" s="112"/>
      <c r="N20" s="119"/>
      <c r="O20" s="112"/>
      <c r="P20" s="112"/>
    </row>
    <row r="21" spans="1:16" ht="13.5" thickBot="1">
      <c r="B21" t="s">
        <v>4</v>
      </c>
      <c r="C21" s="113">
        <f>SUM(C11:C19)</f>
        <v>3152676.4010000001</v>
      </c>
      <c r="D21" s="5"/>
      <c r="E21" s="113">
        <f>SUM(E11:E19)</f>
        <v>1018.5000000000146</v>
      </c>
      <c r="F21" s="113">
        <f>SUM(F11:F19)</f>
        <v>3153694.9010000001</v>
      </c>
      <c r="G21" s="5"/>
      <c r="H21" s="113">
        <f t="shared" ref="H21:P21" si="4">SUM(H11:H19)</f>
        <v>3727.3816500000248</v>
      </c>
      <c r="I21" s="7">
        <f t="shared" si="4"/>
        <v>0</v>
      </c>
      <c r="J21" s="113">
        <f t="shared" si="4"/>
        <v>3157422.28265</v>
      </c>
      <c r="K21" s="113">
        <f t="shared" si="4"/>
        <v>-404551.39164999995</v>
      </c>
      <c r="L21" s="113">
        <f t="shared" si="4"/>
        <v>-47391.199999999997</v>
      </c>
      <c r="M21" s="113">
        <f t="shared" si="4"/>
        <v>-77041.150000000009</v>
      </c>
      <c r="N21" s="120">
        <f t="shared" si="4"/>
        <v>2628438.5410000002</v>
      </c>
      <c r="O21" s="113">
        <f t="shared" si="4"/>
        <v>93939.5</v>
      </c>
      <c r="P21" s="113">
        <f t="shared" si="4"/>
        <v>2722378.0410000002</v>
      </c>
    </row>
    <row r="22" spans="1:16">
      <c r="C22" s="112"/>
      <c r="E22" s="112"/>
      <c r="F22" s="112"/>
      <c r="H22" s="112"/>
      <c r="J22" s="112"/>
      <c r="K22" s="112"/>
      <c r="L22" s="112"/>
      <c r="M22" s="112"/>
      <c r="N22" s="119"/>
      <c r="O22" s="112"/>
      <c r="P22" s="112"/>
    </row>
    <row r="23" spans="1:16">
      <c r="A23" t="s">
        <v>12</v>
      </c>
      <c r="C23" s="112"/>
      <c r="E23" s="112"/>
      <c r="F23" s="112"/>
      <c r="H23" s="112"/>
      <c r="J23" s="112"/>
      <c r="K23" s="112"/>
      <c r="L23" s="112"/>
      <c r="M23" s="112"/>
      <c r="N23" s="119"/>
      <c r="O23" s="112"/>
      <c r="P23" s="112"/>
    </row>
    <row r="24" spans="1:16">
      <c r="A24" t="s">
        <v>13</v>
      </c>
      <c r="C24" s="112"/>
      <c r="E24" s="112"/>
      <c r="F24" s="112"/>
      <c r="H24" s="112"/>
      <c r="J24" s="112"/>
      <c r="K24" s="112"/>
      <c r="L24" s="112"/>
      <c r="M24" s="112"/>
      <c r="N24" s="119"/>
      <c r="O24" s="112"/>
      <c r="P24" s="112"/>
    </row>
    <row r="25" spans="1:16">
      <c r="A25">
        <v>4116</v>
      </c>
      <c r="B25" t="s">
        <v>29</v>
      </c>
      <c r="C25" s="112">
        <f>+'Monthy Income Statements'!O24</f>
        <v>99700.398000000001</v>
      </c>
      <c r="E25" s="112"/>
      <c r="F25" s="112">
        <f t="shared" ref="F25:F38" si="5">+C25+E25</f>
        <v>99700.398000000001</v>
      </c>
      <c r="H25" s="112"/>
      <c r="J25" s="112">
        <f t="shared" ref="J25:J38" si="6">+F25+H25+I25</f>
        <v>99700.398000000001</v>
      </c>
      <c r="K25" s="112">
        <f>-'Cost Allocations-Contracts'!I26-'Cost Allocations-Contracts'!L26</f>
        <v>-12496.560299551491</v>
      </c>
      <c r="L25" s="112">
        <f>-'Cost Allocations-Recycle'!J26</f>
        <v>-2863.4582491951364</v>
      </c>
      <c r="M25" s="112">
        <f>-'Cost Allocations-Recycle'!M26</f>
        <v>0</v>
      </c>
      <c r="N25" s="119">
        <f>+J25+K25+L25+M25</f>
        <v>84340.379451253379</v>
      </c>
      <c r="O25" s="112"/>
      <c r="P25" s="112">
        <f t="shared" ref="P25:P97" si="7">+N25+O25</f>
        <v>84340.379451253379</v>
      </c>
    </row>
    <row r="26" spans="1:16">
      <c r="A26">
        <v>4117</v>
      </c>
      <c r="B26" t="s">
        <v>277</v>
      </c>
      <c r="C26" s="112">
        <f>+'Monthy Income Statements'!O25</f>
        <v>3554.75</v>
      </c>
      <c r="E26" s="112"/>
      <c r="F26" s="112">
        <f>+C26+E26</f>
        <v>3554.75</v>
      </c>
      <c r="H26" s="112"/>
      <c r="J26" s="112">
        <f t="shared" si="6"/>
        <v>3554.75</v>
      </c>
      <c r="K26" s="112">
        <f>-'Cost Allocations-Contracts'!I27-'Cost Allocations-Contracts'!L27</f>
        <v>0</v>
      </c>
      <c r="L26" s="112">
        <f>-'Cost Allocations-Recycle'!J27</f>
        <v>0</v>
      </c>
      <c r="M26" s="112">
        <f>-'Cost Allocations-Recycle'!M27</f>
        <v>0</v>
      </c>
      <c r="N26" s="119">
        <f t="shared" ref="N26:N92" si="8">+J26+K26+L26+M26</f>
        <v>3554.75</v>
      </c>
      <c r="O26" s="112"/>
      <c r="P26" s="112">
        <f>+N26+O26</f>
        <v>3554.75</v>
      </c>
    </row>
    <row r="27" spans="1:16">
      <c r="A27">
        <v>4118</v>
      </c>
      <c r="B27" t="s">
        <v>30</v>
      </c>
      <c r="C27" s="112">
        <f>+'Monthy Income Statements'!O26</f>
        <v>3089</v>
      </c>
      <c r="E27" s="112"/>
      <c r="F27" s="112">
        <f t="shared" si="5"/>
        <v>3089</v>
      </c>
      <c r="H27" s="112"/>
      <c r="J27" s="112">
        <f t="shared" si="6"/>
        <v>3089</v>
      </c>
      <c r="K27" s="112">
        <f>-'Cost Allocations-Contracts'!I28-'Cost Allocations-Contracts'!L28</f>
        <v>-259.38167938931298</v>
      </c>
      <c r="L27" s="112">
        <f>-'Cost Allocations-Recycle'!J28</f>
        <v>0</v>
      </c>
      <c r="M27" s="112">
        <f>-'Cost Allocations-Recycle'!M28</f>
        <v>0</v>
      </c>
      <c r="N27" s="119">
        <f t="shared" si="8"/>
        <v>2829.6183206106871</v>
      </c>
      <c r="O27" s="112"/>
      <c r="P27" s="112">
        <f t="shared" si="7"/>
        <v>2829.6183206106871</v>
      </c>
    </row>
    <row r="28" spans="1:16">
      <c r="A28">
        <v>4120</v>
      </c>
      <c r="B28" t="s">
        <v>278</v>
      </c>
      <c r="C28" s="112">
        <f>+'Monthy Income Statements'!O27</f>
        <v>140</v>
      </c>
      <c r="E28" s="112"/>
      <c r="F28" s="112">
        <f>+C28+E28</f>
        <v>140</v>
      </c>
      <c r="H28" s="112"/>
      <c r="J28" s="112">
        <f t="shared" si="6"/>
        <v>140</v>
      </c>
      <c r="K28" s="112">
        <f>-'Cost Allocations-Contracts'!I29-'Cost Allocations-Contracts'!L29</f>
        <v>0</v>
      </c>
      <c r="L28" s="112">
        <f>-'Cost Allocations-Recycle'!J29</f>
        <v>0</v>
      </c>
      <c r="M28" s="112">
        <f>-'Cost Allocations-Recycle'!M29</f>
        <v>0</v>
      </c>
      <c r="N28" s="119">
        <f t="shared" si="8"/>
        <v>140</v>
      </c>
      <c r="O28" s="112"/>
      <c r="P28" s="112">
        <f>+N28+O28</f>
        <v>140</v>
      </c>
    </row>
    <row r="29" spans="1:16">
      <c r="A29">
        <v>4122</v>
      </c>
      <c r="B29" t="s">
        <v>329</v>
      </c>
      <c r="C29" s="112">
        <f>+'Monthy Income Statements'!O28</f>
        <v>4619.5</v>
      </c>
      <c r="E29" s="112"/>
      <c r="F29" s="112">
        <f>+C29+E29</f>
        <v>4619.5</v>
      </c>
      <c r="H29" s="112"/>
      <c r="J29" s="112">
        <f t="shared" si="6"/>
        <v>4619.5</v>
      </c>
      <c r="K29" s="112">
        <f>-'Cost Allocations-Contracts'!I30-'Cost Allocations-Contracts'!L30</f>
        <v>0</v>
      </c>
      <c r="L29" s="112">
        <f>-'Cost Allocations-Recycle'!J30</f>
        <v>0</v>
      </c>
      <c r="M29" s="112">
        <f>-'Cost Allocations-Recycle'!M30</f>
        <v>-4619.5</v>
      </c>
      <c r="N29" s="119">
        <f t="shared" si="8"/>
        <v>0</v>
      </c>
      <c r="O29" s="112"/>
      <c r="P29" s="112">
        <f>+N29+O29</f>
        <v>0</v>
      </c>
    </row>
    <row r="30" spans="1:16">
      <c r="A30">
        <v>4132</v>
      </c>
      <c r="B30" t="s">
        <v>31</v>
      </c>
      <c r="C30" s="112">
        <f>+'Monthy Income Statements'!O29</f>
        <v>60580.42</v>
      </c>
      <c r="E30" s="112"/>
      <c r="F30" s="112">
        <f t="shared" si="5"/>
        <v>60580.42</v>
      </c>
      <c r="H30" s="112"/>
      <c r="J30" s="112">
        <f t="shared" si="6"/>
        <v>60580.42</v>
      </c>
      <c r="K30" s="112">
        <f>-'Cost Allocations-Contracts'!I31-'Cost Allocations-Contracts'!L31</f>
        <v>-7593.2181484586963</v>
      </c>
      <c r="L30" s="112">
        <f>-'Cost Allocations-Recycle'!J31</f>
        <v>-1739.9078325515416</v>
      </c>
      <c r="M30" s="112">
        <f>-'Cost Allocations-Recycle'!M31</f>
        <v>0</v>
      </c>
      <c r="N30" s="119">
        <f t="shared" si="8"/>
        <v>51247.294018989756</v>
      </c>
      <c r="O30" s="112"/>
      <c r="P30" s="112">
        <f t="shared" si="7"/>
        <v>51247.294018989756</v>
      </c>
    </row>
    <row r="31" spans="1:16">
      <c r="A31">
        <v>4133</v>
      </c>
      <c r="B31" t="s">
        <v>279</v>
      </c>
      <c r="C31" s="112">
        <f>+'Monthy Income Statements'!O30</f>
        <v>5382.42</v>
      </c>
      <c r="E31" s="112"/>
      <c r="F31" s="112">
        <f>+C31+E31</f>
        <v>5382.42</v>
      </c>
      <c r="H31" s="112"/>
      <c r="J31" s="112">
        <f t="shared" si="6"/>
        <v>5382.42</v>
      </c>
      <c r="K31" s="112">
        <f>-'Cost Allocations-Contracts'!I32-'Cost Allocations-Contracts'!L32</f>
        <v>0</v>
      </c>
      <c r="L31" s="112">
        <f>-'Cost Allocations-Recycle'!J32</f>
        <v>0</v>
      </c>
      <c r="M31" s="112">
        <f>-'Cost Allocations-Recycle'!M32</f>
        <v>0</v>
      </c>
      <c r="N31" s="119">
        <f t="shared" si="8"/>
        <v>5382.42</v>
      </c>
      <c r="O31" s="112"/>
      <c r="P31" s="112">
        <f>+N31+O31</f>
        <v>5382.42</v>
      </c>
    </row>
    <row r="32" spans="1:16">
      <c r="A32">
        <v>4134</v>
      </c>
      <c r="B32" t="s">
        <v>32</v>
      </c>
      <c r="C32" s="112">
        <f>+'Monthy Income Statements'!O31</f>
        <v>4733.16</v>
      </c>
      <c r="E32" s="112"/>
      <c r="F32" s="112">
        <f t="shared" si="5"/>
        <v>4733.16</v>
      </c>
      <c r="H32" s="112"/>
      <c r="J32" s="112">
        <f t="shared" si="6"/>
        <v>4733.16</v>
      </c>
      <c r="K32" s="112">
        <f>-'Cost Allocations-Contracts'!I33-'Cost Allocations-Contracts'!L33</f>
        <v>-397.44091603053437</v>
      </c>
      <c r="L32" s="112">
        <f>-'Cost Allocations-Recycle'!J33</f>
        <v>0</v>
      </c>
      <c r="M32" s="112">
        <f>-'Cost Allocations-Recycle'!M33</f>
        <v>0</v>
      </c>
      <c r="N32" s="119">
        <f t="shared" si="8"/>
        <v>4335.7190839694658</v>
      </c>
      <c r="O32" s="112"/>
      <c r="P32" s="112">
        <f t="shared" si="7"/>
        <v>4335.7190839694658</v>
      </c>
    </row>
    <row r="33" spans="1:16">
      <c r="A33">
        <v>4136</v>
      </c>
      <c r="B33" t="s">
        <v>280</v>
      </c>
      <c r="C33" s="112">
        <f>+'Monthy Income Statements'!O32</f>
        <v>526.72</v>
      </c>
      <c r="E33" s="112"/>
      <c r="F33" s="112">
        <f>+C33+E33</f>
        <v>526.72</v>
      </c>
      <c r="H33" s="112"/>
      <c r="J33" s="112">
        <f t="shared" si="6"/>
        <v>526.72</v>
      </c>
      <c r="K33" s="112">
        <f>-'Cost Allocations-Contracts'!I34-'Cost Allocations-Contracts'!L34</f>
        <v>0</v>
      </c>
      <c r="L33" s="112">
        <f>-'Cost Allocations-Recycle'!J34</f>
        <v>0</v>
      </c>
      <c r="M33" s="112">
        <f>-'Cost Allocations-Recycle'!M34</f>
        <v>0</v>
      </c>
      <c r="N33" s="119">
        <f t="shared" si="8"/>
        <v>526.72</v>
      </c>
      <c r="O33" s="112"/>
      <c r="P33" s="112">
        <f>+N33+O33</f>
        <v>526.72</v>
      </c>
    </row>
    <row r="34" spans="1:16">
      <c r="A34">
        <v>4138</v>
      </c>
      <c r="B34" t="s">
        <v>330</v>
      </c>
      <c r="C34" s="112">
        <f>+'Monthy Income Statements'!O33</f>
        <v>2603.9899999999998</v>
      </c>
      <c r="E34" s="112"/>
      <c r="F34" s="112">
        <f>+C34+E34</f>
        <v>2603.9899999999998</v>
      </c>
      <c r="H34" s="112"/>
      <c r="J34" s="112">
        <f t="shared" si="6"/>
        <v>2603.9899999999998</v>
      </c>
      <c r="K34" s="112">
        <f>-'Cost Allocations-Contracts'!I35-'Cost Allocations-Contracts'!L35</f>
        <v>0</v>
      </c>
      <c r="L34" s="112">
        <f>-'Cost Allocations-Recycle'!J35</f>
        <v>0</v>
      </c>
      <c r="M34" s="112">
        <f>-'Cost Allocations-Recycle'!M35</f>
        <v>-2603.9899999999998</v>
      </c>
      <c r="N34" s="119">
        <f t="shared" si="8"/>
        <v>0</v>
      </c>
      <c r="O34" s="112"/>
      <c r="P34" s="112">
        <f>+N34+O34</f>
        <v>0</v>
      </c>
    </row>
    <row r="35" spans="1:16">
      <c r="A35">
        <v>4160</v>
      </c>
      <c r="B35" t="s">
        <v>33</v>
      </c>
      <c r="C35" s="112">
        <f>+'Monthy Income Statements'!O34</f>
        <v>31238.010000000002</v>
      </c>
      <c r="E35" s="112"/>
      <c r="F35" s="112">
        <f t="shared" si="5"/>
        <v>31238.010000000002</v>
      </c>
      <c r="H35" s="112"/>
      <c r="J35" s="112">
        <f t="shared" si="6"/>
        <v>31238.010000000002</v>
      </c>
      <c r="K35" s="112">
        <f>-'Cost Allocations-Contracts'!I36-'Cost Allocations-Contracts'!L36</f>
        <v>-3904.2285828496333</v>
      </c>
      <c r="L35" s="112">
        <f>-'Cost Allocations-Recycle'!J36</f>
        <v>-922.55503559303475</v>
      </c>
      <c r="M35" s="112">
        <f>-'Cost Allocations-Recycle'!M36</f>
        <v>-2416.0526601686561</v>
      </c>
      <c r="N35" s="119">
        <f t="shared" si="8"/>
        <v>23995.173721388681</v>
      </c>
      <c r="O35" s="112"/>
      <c r="P35" s="112">
        <f t="shared" si="7"/>
        <v>23995.173721388681</v>
      </c>
    </row>
    <row r="36" spans="1:16">
      <c r="A36">
        <v>4162</v>
      </c>
      <c r="B36" t="s">
        <v>281</v>
      </c>
      <c r="C36" s="112">
        <f>+'Monthy Income Statements'!O35</f>
        <v>3764.16</v>
      </c>
      <c r="E36" s="112"/>
      <c r="F36" s="112">
        <f>+C36+E36</f>
        <v>3764.16</v>
      </c>
      <c r="H36" s="112"/>
      <c r="J36" s="112">
        <f t="shared" si="6"/>
        <v>3764.16</v>
      </c>
      <c r="K36" s="112">
        <f>-'Cost Allocations-Contracts'!I37-'Cost Allocations-Contracts'!L37</f>
        <v>0</v>
      </c>
      <c r="L36" s="112">
        <f>-'Cost Allocations-Recycle'!J37</f>
        <v>0</v>
      </c>
      <c r="M36" s="112">
        <f>-'Cost Allocations-Recycle'!M37</f>
        <v>0</v>
      </c>
      <c r="N36" s="119">
        <f t="shared" si="8"/>
        <v>3764.16</v>
      </c>
      <c r="O36" s="112"/>
      <c r="P36" s="112">
        <f>+N36+O36</f>
        <v>3764.16</v>
      </c>
    </row>
    <row r="37" spans="1:16">
      <c r="A37">
        <v>4164</v>
      </c>
      <c r="B37" t="s">
        <v>1275</v>
      </c>
      <c r="C37" s="112">
        <f>+'Monthy Income Statements'!O36</f>
        <v>0</v>
      </c>
      <c r="E37" s="112"/>
      <c r="F37" s="112">
        <f>+C37+E37</f>
        <v>0</v>
      </c>
      <c r="H37" s="112"/>
      <c r="J37" s="112">
        <f t="shared" ref="J37" si="9">+F37+H37+I37</f>
        <v>0</v>
      </c>
      <c r="K37" s="112"/>
      <c r="L37" s="112"/>
      <c r="M37" s="112">
        <f>-'Cost Allocations-Recycle'!M38</f>
        <v>0</v>
      </c>
      <c r="N37" s="119">
        <f t="shared" ref="N37" si="10">+J37+K37+L37+M37</f>
        <v>0</v>
      </c>
      <c r="O37" s="112"/>
      <c r="P37" s="112">
        <f>+N37+O37</f>
        <v>0</v>
      </c>
    </row>
    <row r="38" spans="1:16">
      <c r="A38">
        <v>4180</v>
      </c>
      <c r="B38" t="s">
        <v>34</v>
      </c>
      <c r="C38" s="112">
        <f>+'Monthy Income Statements'!O37</f>
        <v>21283.934000000001</v>
      </c>
      <c r="E38" s="112"/>
      <c r="F38" s="112">
        <f t="shared" si="5"/>
        <v>21283.934000000001</v>
      </c>
      <c r="H38" s="112"/>
      <c r="J38" s="112">
        <f t="shared" si="6"/>
        <v>21283.934000000001</v>
      </c>
      <c r="K38" s="112">
        <f>-'Cost Allocations-Contracts'!I39-'Cost Allocations-Contracts'!L39</f>
        <v>-2667.7522856295336</v>
      </c>
      <c r="L38" s="112">
        <f>-'Cost Allocations-Recycle'!J39</f>
        <v>-611.28799493483314</v>
      </c>
      <c r="M38" s="112">
        <f>-'Cost Allocations-Recycle'!M39</f>
        <v>0</v>
      </c>
      <c r="N38" s="119">
        <f t="shared" si="8"/>
        <v>18004.893719435637</v>
      </c>
      <c r="O38" s="112"/>
      <c r="P38" s="112">
        <f t="shared" si="7"/>
        <v>18004.893719435637</v>
      </c>
    </row>
    <row r="39" spans="1:16">
      <c r="A39" t="s">
        <v>16</v>
      </c>
      <c r="C39" s="112"/>
      <c r="E39" s="112"/>
      <c r="F39" s="112"/>
      <c r="H39" s="112"/>
      <c r="J39" s="112"/>
      <c r="K39" s="112"/>
      <c r="L39" s="112"/>
      <c r="M39" s="112"/>
      <c r="N39" s="119"/>
      <c r="O39" s="112"/>
      <c r="P39" s="112"/>
    </row>
    <row r="40" spans="1:16">
      <c r="A40">
        <v>4210</v>
      </c>
      <c r="B40" t="s">
        <v>35</v>
      </c>
      <c r="C40" s="112">
        <f>+'Monthy Income Statements'!O39</f>
        <v>0</v>
      </c>
      <c r="E40" s="112"/>
      <c r="F40" s="112">
        <f t="shared" ref="F40:F48" si="11">+C40+E40</f>
        <v>0</v>
      </c>
      <c r="H40" s="112"/>
      <c r="J40" s="112">
        <f t="shared" ref="J40:J49" si="12">+F40+H40+I40</f>
        <v>0</v>
      </c>
      <c r="K40" s="112">
        <f>-'Cost Allocations-Contracts'!I41-'Cost Allocations-Contracts'!L41</f>
        <v>0</v>
      </c>
      <c r="L40" s="112">
        <f>-'Cost Allocations-Recycle'!J41</f>
        <v>0</v>
      </c>
      <c r="M40" s="112">
        <f>-'Cost Allocations-Recycle'!M41</f>
        <v>0</v>
      </c>
      <c r="N40" s="119">
        <f t="shared" si="8"/>
        <v>0</v>
      </c>
      <c r="O40" s="112"/>
      <c r="P40" s="112">
        <f t="shared" si="7"/>
        <v>0</v>
      </c>
    </row>
    <row r="41" spans="1:16">
      <c r="A41">
        <v>4213</v>
      </c>
      <c r="B41" t="s">
        <v>36</v>
      </c>
      <c r="C41" s="112">
        <f>+'Monthy Income Statements'!O40</f>
        <v>332289.94000000006</v>
      </c>
      <c r="E41" s="112"/>
      <c r="F41" s="112">
        <f t="shared" si="11"/>
        <v>332289.94000000006</v>
      </c>
      <c r="G41">
        <v>1</v>
      </c>
      <c r="H41" s="112">
        <f>+'Proforma AJEs'!H10</f>
        <v>11884.589999999997</v>
      </c>
      <c r="J41" s="112">
        <f t="shared" si="12"/>
        <v>344174.53</v>
      </c>
      <c r="K41" s="112">
        <f>-'Cost Allocations-Contracts'!I42-'Cost Allocations-Contracts'!L42</f>
        <v>-43139.223653999798</v>
      </c>
      <c r="L41" s="112">
        <f>-'Cost Allocations-Recycle'!J42</f>
        <v>-7322.5543591552923</v>
      </c>
      <c r="M41" s="112">
        <f>-'Cost Allocations-Recycle'!M42</f>
        <v>0</v>
      </c>
      <c r="N41" s="119">
        <f t="shared" si="8"/>
        <v>293712.75198684493</v>
      </c>
      <c r="O41" s="112"/>
      <c r="P41" s="112">
        <f t="shared" si="7"/>
        <v>293712.75198684493</v>
      </c>
    </row>
    <row r="42" spans="1:16">
      <c r="A42">
        <v>4215</v>
      </c>
      <c r="B42" t="s">
        <v>37</v>
      </c>
      <c r="C42" s="112">
        <f>+'Monthy Income Statements'!O41</f>
        <v>42058.5</v>
      </c>
      <c r="E42" s="112"/>
      <c r="F42" s="112">
        <f t="shared" si="11"/>
        <v>42058.5</v>
      </c>
      <c r="G42">
        <v>1</v>
      </c>
      <c r="H42" s="112">
        <f>+'Proforma AJEs'!H11</f>
        <v>-379.15999999999985</v>
      </c>
      <c r="J42" s="112">
        <f t="shared" si="12"/>
        <v>41679.339999999997</v>
      </c>
      <c r="K42" s="112">
        <f>-'Cost Allocations-Contracts'!I43-'Cost Allocations-Contracts'!L43</f>
        <v>0</v>
      </c>
      <c r="L42" s="112">
        <f>-'Cost Allocations-Recycle'!J43</f>
        <v>0</v>
      </c>
      <c r="M42" s="112">
        <f>-'Cost Allocations-Recycle'!M43</f>
        <v>0</v>
      </c>
      <c r="N42" s="119">
        <f t="shared" si="8"/>
        <v>41679.339999999997</v>
      </c>
      <c r="O42" s="112"/>
      <c r="P42" s="112">
        <f t="shared" si="7"/>
        <v>41679.339999999997</v>
      </c>
    </row>
    <row r="43" spans="1:16">
      <c r="A43">
        <v>4217</v>
      </c>
      <c r="B43" t="s">
        <v>284</v>
      </c>
      <c r="C43" s="112">
        <f>+'Monthy Income Statements'!O42</f>
        <v>9199</v>
      </c>
      <c r="E43" s="112"/>
      <c r="F43" s="112">
        <f t="shared" si="11"/>
        <v>9199</v>
      </c>
      <c r="H43" s="112"/>
      <c r="J43" s="112">
        <f t="shared" si="12"/>
        <v>9199</v>
      </c>
      <c r="K43" s="112">
        <f>-'Cost Allocations-Contracts'!I44-'Cost Allocations-Contracts'!L44</f>
        <v>-1153.0130320600542</v>
      </c>
      <c r="L43" s="112">
        <f>-'Cost Allocations-Recycle'!J44</f>
        <v>0</v>
      </c>
      <c r="M43" s="112">
        <f>-'Cost Allocations-Recycle'!M44</f>
        <v>-407.32945597825619</v>
      </c>
      <c r="N43" s="119">
        <f t="shared" si="8"/>
        <v>7638.6575119616891</v>
      </c>
      <c r="O43" s="112"/>
      <c r="P43" s="112">
        <f>+N43+O43</f>
        <v>7638.6575119616891</v>
      </c>
    </row>
    <row r="44" spans="1:16">
      <c r="A44">
        <v>4222</v>
      </c>
      <c r="B44" t="s">
        <v>331</v>
      </c>
      <c r="C44" s="112">
        <f>+'Monthy Income Statements'!O43</f>
        <v>9409.880000000001</v>
      </c>
      <c r="E44" s="112"/>
      <c r="F44" s="112">
        <f>+C44+E44</f>
        <v>9409.880000000001</v>
      </c>
      <c r="H44" s="112"/>
      <c r="J44" s="112">
        <f t="shared" si="12"/>
        <v>9409.880000000001</v>
      </c>
      <c r="K44" s="112">
        <f>-'Cost Allocations-Contracts'!I45-'Cost Allocations-Contracts'!L45</f>
        <v>0</v>
      </c>
      <c r="L44" s="112">
        <f>-'Cost Allocations-Recycle'!J45</f>
        <v>0</v>
      </c>
      <c r="M44" s="112">
        <f>-'Cost Allocations-Recycle'!M45</f>
        <v>-9409.880000000001</v>
      </c>
      <c r="N44" s="119">
        <f t="shared" si="8"/>
        <v>0</v>
      </c>
      <c r="O44" s="112"/>
      <c r="P44" s="112">
        <f>+N44+O44</f>
        <v>0</v>
      </c>
    </row>
    <row r="45" spans="1:16">
      <c r="A45">
        <v>4240</v>
      </c>
      <c r="B45" t="s">
        <v>38</v>
      </c>
      <c r="C45" s="112">
        <f>+'Monthy Income Statements'!O44</f>
        <v>111084.39</v>
      </c>
      <c r="D45">
        <v>3</v>
      </c>
      <c r="E45" s="112">
        <f>-E46</f>
        <v>0</v>
      </c>
      <c r="F45" s="112">
        <f t="shared" si="11"/>
        <v>111084.39</v>
      </c>
      <c r="G45">
        <v>10</v>
      </c>
      <c r="H45" s="112">
        <f>+'Proforma AJEs'!H65</f>
        <v>0</v>
      </c>
      <c r="J45" s="112">
        <f t="shared" si="12"/>
        <v>111084.39</v>
      </c>
      <c r="K45" s="112">
        <f>-'Cost Allocations-Contracts'!I46-'Cost Allocations-Contracts'!L46</f>
        <v>-13923.442692514573</v>
      </c>
      <c r="L45" s="112">
        <f>-'Cost Allocations-Recycle'!J46</f>
        <v>-3597.290992117205</v>
      </c>
      <c r="M45" s="112">
        <f>-'Cost Allocations-Recycle'!M46</f>
        <v>0</v>
      </c>
      <c r="N45" s="119">
        <f t="shared" si="8"/>
        <v>93563.656315368222</v>
      </c>
      <c r="O45" s="112"/>
      <c r="P45" s="112">
        <f t="shared" si="7"/>
        <v>93563.656315368222</v>
      </c>
    </row>
    <row r="46" spans="1:16">
      <c r="A46">
        <v>4242</v>
      </c>
      <c r="B46" t="s">
        <v>282</v>
      </c>
      <c r="C46" s="112">
        <f>+'Monthy Income Statements'!O45</f>
        <v>24776.99</v>
      </c>
      <c r="D46">
        <v>3</v>
      </c>
      <c r="E46" s="112">
        <f>+'Restating AJEs'!I28</f>
        <v>0</v>
      </c>
      <c r="F46" s="112">
        <f t="shared" si="11"/>
        <v>24776.99</v>
      </c>
      <c r="G46">
        <v>10</v>
      </c>
      <c r="H46" s="112">
        <f>+'Proforma AJEs'!H67</f>
        <v>0</v>
      </c>
      <c r="J46" s="112">
        <f t="shared" si="12"/>
        <v>24776.99</v>
      </c>
      <c r="K46" s="112">
        <f>-'Cost Allocations-Contracts'!I47-'Cost Allocations-Contracts'!L47</f>
        <v>0</v>
      </c>
      <c r="L46" s="112">
        <f>-'Cost Allocations-Recycle'!J47</f>
        <v>0</v>
      </c>
      <c r="M46" s="112">
        <f>-'Cost Allocations-Recycle'!M47</f>
        <v>0</v>
      </c>
      <c r="N46" s="119">
        <f t="shared" si="8"/>
        <v>24776.99</v>
      </c>
      <c r="O46" s="112"/>
      <c r="P46" s="112">
        <f>+N46+O46</f>
        <v>24776.99</v>
      </c>
    </row>
    <row r="47" spans="1:16">
      <c r="A47">
        <v>4244</v>
      </c>
      <c r="B47" t="s">
        <v>332</v>
      </c>
      <c r="C47" s="112">
        <f>+'Monthy Income Statements'!O46</f>
        <v>3085.0899999999997</v>
      </c>
      <c r="E47" s="112"/>
      <c r="F47" s="112">
        <f>+C47+E47</f>
        <v>3085.0899999999997</v>
      </c>
      <c r="H47" s="112"/>
      <c r="J47" s="112">
        <f t="shared" si="12"/>
        <v>3085.0899999999997</v>
      </c>
      <c r="K47" s="112">
        <f>-'Cost Allocations-Contracts'!I48-'Cost Allocations-Contracts'!L48</f>
        <v>0</v>
      </c>
      <c r="L47" s="112">
        <f>-'Cost Allocations-Recycle'!J48</f>
        <v>0</v>
      </c>
      <c r="M47" s="112">
        <f>-'Cost Allocations-Recycle'!M48</f>
        <v>-3085.0899999999997</v>
      </c>
      <c r="N47" s="119">
        <f t="shared" si="8"/>
        <v>0</v>
      </c>
      <c r="O47" s="112"/>
      <c r="P47" s="112">
        <f>+N47+O47</f>
        <v>0</v>
      </c>
    </row>
    <row r="48" spans="1:16">
      <c r="A48">
        <v>4280</v>
      </c>
      <c r="B48" t="s">
        <v>39</v>
      </c>
      <c r="C48" s="112">
        <f>+'Monthy Income Statements'!O47</f>
        <v>14224.23</v>
      </c>
      <c r="E48" s="112"/>
      <c r="F48" s="112">
        <f t="shared" si="11"/>
        <v>14224.23</v>
      </c>
      <c r="H48" s="112"/>
      <c r="J48" s="112">
        <f t="shared" si="12"/>
        <v>14224.23</v>
      </c>
      <c r="K48" s="112">
        <f>-'Cost Allocations-Contracts'!I49-'Cost Allocations-Contracts'!L49</f>
        <v>-1782.881026309336</v>
      </c>
      <c r="L48" s="112">
        <f>-'Cost Allocations-Recycle'!J49</f>
        <v>-302.6304630738581</v>
      </c>
      <c r="M48" s="112">
        <f>-'Cost Allocations-Recycle'!M49</f>
        <v>0</v>
      </c>
      <c r="N48" s="119">
        <f t="shared" si="8"/>
        <v>12138.718510616805</v>
      </c>
      <c r="O48" s="112"/>
      <c r="P48" s="112">
        <f t="shared" si="7"/>
        <v>12138.718510616805</v>
      </c>
    </row>
    <row r="49" spans="1:16">
      <c r="A49">
        <v>4282</v>
      </c>
      <c r="B49" t="s">
        <v>334</v>
      </c>
      <c r="C49" s="112">
        <f>+'Monthy Income Statements'!O48</f>
        <v>0</v>
      </c>
      <c r="E49" s="112"/>
      <c r="F49" s="112">
        <f>+C49+E49</f>
        <v>0</v>
      </c>
      <c r="H49" s="112"/>
      <c r="J49" s="112">
        <f t="shared" si="12"/>
        <v>0</v>
      </c>
      <c r="K49" s="112">
        <f>-'Cost Allocations-Contracts'!I50-'Cost Allocations-Contracts'!L50</f>
        <v>0</v>
      </c>
      <c r="L49" s="112">
        <f>-'Cost Allocations-Recycle'!J50</f>
        <v>0</v>
      </c>
      <c r="M49" s="112">
        <f>-'Cost Allocations-Recycle'!M50</f>
        <v>0</v>
      </c>
      <c r="N49" s="119">
        <f t="shared" si="8"/>
        <v>0</v>
      </c>
      <c r="O49" s="112"/>
      <c r="P49" s="112">
        <f>+N49+O49</f>
        <v>0</v>
      </c>
    </row>
    <row r="50" spans="1:16">
      <c r="A50" t="s">
        <v>17</v>
      </c>
      <c r="C50" s="112"/>
      <c r="E50" s="112"/>
      <c r="F50" s="112"/>
      <c r="H50" s="112"/>
      <c r="J50" s="112"/>
      <c r="K50" s="112"/>
      <c r="L50" s="112"/>
      <c r="M50" s="112"/>
      <c r="N50" s="119"/>
      <c r="O50" s="112"/>
      <c r="P50" s="112"/>
    </row>
    <row r="51" spans="1:16">
      <c r="A51">
        <v>4360</v>
      </c>
      <c r="B51" t="s">
        <v>40</v>
      </c>
      <c r="C51" s="112">
        <f>+'Monthy Income Statements'!O50</f>
        <v>425876.56999999995</v>
      </c>
      <c r="E51" s="112"/>
      <c r="F51" s="112">
        <f>+C51+E51</f>
        <v>425876.56999999995</v>
      </c>
      <c r="G51">
        <v>8</v>
      </c>
      <c r="H51" s="112">
        <f>+'Proforma AJEs'!H47</f>
        <v>23110.190000000061</v>
      </c>
      <c r="J51" s="112">
        <f>+F51+H51+I51</f>
        <v>448986.76</v>
      </c>
      <c r="K51" s="112">
        <f>-'Cost Allocations-Contracts'!I52-'Cost Allocations-Contracts'!L52</f>
        <v>-1342.6410353677945</v>
      </c>
      <c r="L51" s="112">
        <f>-'Cost Allocations-Recycle'!J52</f>
        <v>0</v>
      </c>
      <c r="M51" s="112">
        <f>-'Cost Allocations-Recycle'!M52</f>
        <v>0</v>
      </c>
      <c r="N51" s="119">
        <f t="shared" si="8"/>
        <v>447644.11896463222</v>
      </c>
      <c r="O51" s="112"/>
      <c r="P51" s="112">
        <f t="shared" si="7"/>
        <v>447644.11896463222</v>
      </c>
    </row>
    <row r="52" spans="1:16">
      <c r="A52">
        <v>4361</v>
      </c>
      <c r="B52" t="s">
        <v>41</v>
      </c>
      <c r="C52" s="112">
        <f>+'Monthy Income Statements'!O51</f>
        <v>255383.11</v>
      </c>
      <c r="E52" s="112"/>
      <c r="F52" s="112">
        <f>+C52+E52</f>
        <v>255383.11</v>
      </c>
      <c r="H52" s="112"/>
      <c r="J52" s="112">
        <f>+F52+H52+I52</f>
        <v>255383.11</v>
      </c>
      <c r="K52" s="112">
        <f>-'Cost Allocations-Contracts'!I53-'Cost Allocations-Contracts'!L53</f>
        <v>0</v>
      </c>
      <c r="L52" s="112">
        <f>-'Cost Allocations-Recycle'!J53</f>
        <v>0</v>
      </c>
      <c r="M52" s="112">
        <f>-'Cost Allocations-Recycle'!M53</f>
        <v>0</v>
      </c>
      <c r="N52" s="119">
        <f t="shared" si="8"/>
        <v>255383.11</v>
      </c>
      <c r="O52" s="112"/>
      <c r="P52" s="112">
        <f t="shared" si="7"/>
        <v>255383.11</v>
      </c>
    </row>
    <row r="53" spans="1:16">
      <c r="A53">
        <v>4362</v>
      </c>
      <c r="B53" t="s">
        <v>42</v>
      </c>
      <c r="C53" s="112">
        <f>+'Monthy Income Statements'!O52</f>
        <v>250601.41000000003</v>
      </c>
      <c r="E53" s="112"/>
      <c r="F53" s="112">
        <f>+C53+E53</f>
        <v>250601.41000000003</v>
      </c>
      <c r="G53">
        <v>8</v>
      </c>
      <c r="H53" s="112">
        <f>'Proforma AJEs'!H48</f>
        <v>0</v>
      </c>
      <c r="J53" s="112">
        <f>+F53+H53+I53</f>
        <v>250601.41000000003</v>
      </c>
      <c r="K53" s="112">
        <f>-'Cost Allocations-Contracts'!I54-'Cost Allocations-Contracts'!L54</f>
        <v>-130291.40289114094</v>
      </c>
      <c r="L53" s="112">
        <f>-'Cost Allocations-Recycle'!J54</f>
        <v>0</v>
      </c>
      <c r="M53" s="112">
        <f>-'Cost Allocations-Recycle'!M54</f>
        <v>0</v>
      </c>
      <c r="N53" s="119">
        <f t="shared" si="8"/>
        <v>120310.00710885909</v>
      </c>
      <c r="O53" s="112"/>
      <c r="P53" s="112">
        <f t="shared" si="7"/>
        <v>120310.00710885909</v>
      </c>
    </row>
    <row r="54" spans="1:16">
      <c r="A54">
        <v>4363</v>
      </c>
      <c r="B54" t="s">
        <v>43</v>
      </c>
      <c r="C54" s="112">
        <f>+'Monthy Income Statements'!O53</f>
        <v>110547.86</v>
      </c>
      <c r="E54" s="112"/>
      <c r="F54" s="112">
        <f>+C54+E54</f>
        <v>110547.86</v>
      </c>
      <c r="H54" s="112"/>
      <c r="J54" s="112">
        <f>+F54+H54+I54</f>
        <v>110547.86</v>
      </c>
      <c r="K54" s="112">
        <f>-'Cost Allocations-Contracts'!I55-'Cost Allocations-Contracts'!L55</f>
        <v>0</v>
      </c>
      <c r="L54" s="112">
        <f>-'Cost Allocations-Recycle'!J55</f>
        <v>0</v>
      </c>
      <c r="M54" s="112">
        <f>-'Cost Allocations-Recycle'!M55</f>
        <v>0</v>
      </c>
      <c r="N54" s="119">
        <f t="shared" si="8"/>
        <v>110547.86</v>
      </c>
      <c r="O54" s="112"/>
      <c r="P54" s="112">
        <f t="shared" si="7"/>
        <v>110547.86</v>
      </c>
    </row>
    <row r="55" spans="1:16">
      <c r="A55">
        <v>4380</v>
      </c>
      <c r="B55" t="s">
        <v>335</v>
      </c>
      <c r="C55" s="112">
        <f>+'Monthy Income Statements'!O54</f>
        <v>10439.240000000002</v>
      </c>
      <c r="E55" s="112"/>
      <c r="F55" s="112">
        <f>+C55+E55</f>
        <v>10439.240000000002</v>
      </c>
      <c r="G55">
        <v>12</v>
      </c>
      <c r="H55" s="112">
        <f>'Proforma AJEs'!I90</f>
        <v>804.44999999999982</v>
      </c>
      <c r="J55" s="112">
        <f>+F55+H55+I55</f>
        <v>11243.690000000002</v>
      </c>
      <c r="K55" s="112">
        <f>-'Cost Allocations-Contracts'!I56-'Cost Allocations-Contracts'!L56</f>
        <v>0</v>
      </c>
      <c r="L55" s="112">
        <f>-'Cost Allocations-Recycle'!J56</f>
        <v>0</v>
      </c>
      <c r="M55" s="112">
        <f>-'Cost Allocations-Recycle'!M56</f>
        <v>-11243.690000000002</v>
      </c>
      <c r="N55" s="119">
        <f t="shared" si="8"/>
        <v>0</v>
      </c>
      <c r="O55" s="112"/>
      <c r="P55" s="112">
        <f>+N55+O55</f>
        <v>0</v>
      </c>
    </row>
    <row r="56" spans="1:16">
      <c r="A56" t="s">
        <v>14</v>
      </c>
      <c r="C56" s="112"/>
      <c r="E56" s="112"/>
      <c r="F56" s="112"/>
      <c r="H56" s="112"/>
      <c r="J56" s="112"/>
      <c r="K56" s="112"/>
      <c r="L56" s="112"/>
      <c r="M56" s="112"/>
      <c r="N56" s="119"/>
      <c r="O56" s="112"/>
      <c r="P56" s="112"/>
    </row>
    <row r="57" spans="1:16">
      <c r="A57">
        <v>4430</v>
      </c>
      <c r="B57" t="s">
        <v>44</v>
      </c>
      <c r="C57" s="112">
        <f>+'Monthy Income Statements'!O56</f>
        <v>0</v>
      </c>
      <c r="E57" s="112"/>
      <c r="F57" s="112">
        <f>+C57+E57</f>
        <v>0</v>
      </c>
      <c r="H57" s="112"/>
      <c r="J57" s="112">
        <f>+F57+H57+I57</f>
        <v>0</v>
      </c>
      <c r="K57" s="112">
        <f>-'Cost Allocations-Contracts'!I58-'Cost Allocations-Contracts'!L58</f>
        <v>0</v>
      </c>
      <c r="L57" s="112">
        <f>-'Cost Allocations-Recycle'!J58</f>
        <v>0</v>
      </c>
      <c r="M57" s="112">
        <f>-'Cost Allocations-Recycle'!M58</f>
        <v>0</v>
      </c>
      <c r="N57" s="119">
        <f t="shared" si="8"/>
        <v>0</v>
      </c>
      <c r="O57" s="112"/>
      <c r="P57" s="112">
        <f t="shared" si="7"/>
        <v>0</v>
      </c>
    </row>
    <row r="58" spans="1:16">
      <c r="A58">
        <v>4450</v>
      </c>
      <c r="B58" t="s">
        <v>45</v>
      </c>
      <c r="C58" s="112">
        <f>+'Monthy Income Statements'!O57</f>
        <v>4734.32</v>
      </c>
      <c r="E58" s="112"/>
      <c r="F58" s="112">
        <f>+C58+E58</f>
        <v>4734.32</v>
      </c>
      <c r="G58">
        <v>5</v>
      </c>
      <c r="H58" s="112">
        <f>+'Proforma AJEs'!H33</f>
        <v>-1000</v>
      </c>
      <c r="J58" s="112">
        <f>+F58+H58+I58</f>
        <v>3734.3199999999997</v>
      </c>
      <c r="K58" s="112">
        <f>-'Cost Allocations-Contracts'!I59-'Cost Allocations-Contracts'!L59</f>
        <v>0</v>
      </c>
      <c r="L58" s="112">
        <f>-'Cost Allocations-Recycle'!J59</f>
        <v>0</v>
      </c>
      <c r="M58" s="112">
        <f>-'Cost Allocations-Recycle'!M59</f>
        <v>0</v>
      </c>
      <c r="N58" s="119">
        <f t="shared" si="8"/>
        <v>3734.3199999999997</v>
      </c>
      <c r="O58" s="112"/>
      <c r="P58" s="112">
        <f t="shared" si="7"/>
        <v>3734.3199999999997</v>
      </c>
    </row>
    <row r="59" spans="1:16">
      <c r="A59" t="s">
        <v>15</v>
      </c>
      <c r="C59" s="112"/>
      <c r="E59" s="112"/>
      <c r="F59" s="112"/>
      <c r="H59" s="112"/>
      <c r="J59" s="112"/>
      <c r="K59" s="112"/>
      <c r="L59" s="112"/>
      <c r="M59" s="112"/>
      <c r="N59" s="119"/>
      <c r="O59" s="112"/>
      <c r="P59" s="112"/>
    </row>
    <row r="60" spans="1:16">
      <c r="A60">
        <v>4530</v>
      </c>
      <c r="B60" t="s">
        <v>46</v>
      </c>
      <c r="C60" s="112">
        <f>+'Monthy Income Statements'!O59</f>
        <v>74682.400000000009</v>
      </c>
      <c r="E60" s="112"/>
      <c r="F60" s="112">
        <f>+C60+E60</f>
        <v>74682.400000000009</v>
      </c>
      <c r="H60" s="112"/>
      <c r="J60" s="112">
        <f>+F60+H60+I60</f>
        <v>74682.400000000009</v>
      </c>
      <c r="K60" s="112">
        <f>-'Cost Allocations-Contracts'!I61-'Cost Allocations-Contracts'!L61</f>
        <v>-9360.7762219286669</v>
      </c>
      <c r="L60" s="112">
        <f>-'Cost Allocations-Recycle'!J61</f>
        <v>-2144.9255834434171</v>
      </c>
      <c r="M60" s="112">
        <f>-'Cost Allocations-Recycle'!M61</f>
        <v>0</v>
      </c>
      <c r="N60" s="119">
        <f t="shared" si="8"/>
        <v>63176.698194627927</v>
      </c>
      <c r="O60" s="112"/>
      <c r="P60" s="112">
        <f t="shared" si="7"/>
        <v>63176.698194627927</v>
      </c>
    </row>
    <row r="61" spans="1:16">
      <c r="A61">
        <v>4540</v>
      </c>
      <c r="B61" t="s">
        <v>47</v>
      </c>
      <c r="C61" s="112">
        <f>+'Monthy Income Statements'!O60</f>
        <v>20751.190000000002</v>
      </c>
      <c r="E61" s="112"/>
      <c r="F61" s="112">
        <f>+C61+E61</f>
        <v>20751.190000000002</v>
      </c>
      <c r="G61">
        <v>2</v>
      </c>
      <c r="H61" s="112">
        <f>+'Proforma AJEs'!H19</f>
        <v>-303.27364999999867</v>
      </c>
      <c r="J61" s="112">
        <f>+F61+H61+I61</f>
        <v>20447.916350000003</v>
      </c>
      <c r="K61" s="112">
        <f>-'Cost Allocations-Contracts'!I62-'Cost Allocations-Contracts'!L62</f>
        <v>-2562.9648907515884</v>
      </c>
      <c r="L61" s="112">
        <f>-'Cost Allocations-Recycle'!J62</f>
        <v>-587.27704127379332</v>
      </c>
      <c r="M61" s="112">
        <f>-'Cost Allocations-Recycle'!M62</f>
        <v>0</v>
      </c>
      <c r="N61" s="119">
        <f t="shared" si="8"/>
        <v>17297.674417974624</v>
      </c>
      <c r="O61" s="112"/>
      <c r="P61" s="112">
        <f t="shared" si="7"/>
        <v>17297.674417974624</v>
      </c>
    </row>
    <row r="62" spans="1:16">
      <c r="A62">
        <v>4580</v>
      </c>
      <c r="B62" t="s">
        <v>48</v>
      </c>
      <c r="C62" s="112">
        <f>+'Monthy Income Statements'!O61</f>
        <v>0</v>
      </c>
      <c r="E62" s="112"/>
      <c r="F62" s="112">
        <f>+C62+E62</f>
        <v>0</v>
      </c>
      <c r="H62" s="112"/>
      <c r="J62" s="112">
        <f>+F62+H62+I62</f>
        <v>0</v>
      </c>
      <c r="K62" s="112">
        <f>-'Cost Allocations-Contracts'!I63-'Cost Allocations-Contracts'!L63</f>
        <v>0</v>
      </c>
      <c r="L62" s="112">
        <f>-'Cost Allocations-Recycle'!J63</f>
        <v>0</v>
      </c>
      <c r="M62" s="112">
        <f>-'Cost Allocations-Recycle'!M63</f>
        <v>0</v>
      </c>
      <c r="N62" s="119">
        <f t="shared" si="8"/>
        <v>0</v>
      </c>
      <c r="O62" s="112"/>
      <c r="P62" s="112">
        <f t="shared" si="7"/>
        <v>0</v>
      </c>
    </row>
    <row r="63" spans="1:16">
      <c r="A63" t="s">
        <v>18</v>
      </c>
      <c r="C63" s="112"/>
      <c r="E63" s="112"/>
      <c r="F63" s="112"/>
      <c r="H63" s="112"/>
      <c r="J63" s="112"/>
      <c r="K63" s="112"/>
      <c r="L63" s="112"/>
      <c r="M63" s="112"/>
      <c r="N63" s="119"/>
      <c r="O63" s="112"/>
      <c r="P63" s="112"/>
    </row>
    <row r="64" spans="1:16">
      <c r="A64">
        <v>4611</v>
      </c>
      <c r="B64" t="s">
        <v>49</v>
      </c>
      <c r="C64" s="112">
        <f>+'Monthy Income Statements'!O63</f>
        <v>75800</v>
      </c>
      <c r="E64" s="112"/>
      <c r="F64" s="112">
        <f t="shared" ref="F64:F83" si="13">+C64+E64</f>
        <v>75800</v>
      </c>
      <c r="G64">
        <v>1</v>
      </c>
      <c r="H64" s="112">
        <f>+'Proforma AJEs'!H13</f>
        <v>1000</v>
      </c>
      <c r="J64" s="112">
        <f t="shared" ref="J64:J83" si="14">+F64+H64+I64</f>
        <v>76800</v>
      </c>
      <c r="K64" s="112">
        <f>-'Cost Allocations-Contracts'!I65-'Cost Allocations-Contracts'!L65</f>
        <v>-10685.27314868633</v>
      </c>
      <c r="L64" s="112">
        <f>-'Cost Allocations-Recycle'!J65</f>
        <v>-1528.6787451417767</v>
      </c>
      <c r="M64" s="112">
        <f>-'Cost Allocations-Recycle'!M65</f>
        <v>-3269.6796482145191</v>
      </c>
      <c r="N64" s="119">
        <f t="shared" si="8"/>
        <v>61316.368457957367</v>
      </c>
      <c r="O64" s="112"/>
      <c r="P64" s="112">
        <f t="shared" si="7"/>
        <v>61316.368457957367</v>
      </c>
    </row>
    <row r="65" spans="1:16">
      <c r="A65">
        <v>4612</v>
      </c>
      <c r="B65" t="s">
        <v>50</v>
      </c>
      <c r="C65" s="112">
        <f>+'Monthy Income Statements'!O64</f>
        <v>13914.41</v>
      </c>
      <c r="E65" s="112"/>
      <c r="F65" s="112">
        <f t="shared" si="13"/>
        <v>13914.41</v>
      </c>
      <c r="G65">
        <v>1</v>
      </c>
      <c r="H65" s="112">
        <f>+'Proforma AJEs'!H14</f>
        <v>38858.43</v>
      </c>
      <c r="J65" s="112">
        <f t="shared" si="14"/>
        <v>52772.84</v>
      </c>
      <c r="K65" s="112">
        <f>-'Cost Allocations-Contracts'!I66-'Cost Allocations-Contracts'!L66</f>
        <v>0</v>
      </c>
      <c r="L65" s="112">
        <f>-'Cost Allocations-Recycle'!J66</f>
        <v>-1220.1928779074251</v>
      </c>
      <c r="M65" s="112">
        <f>-'Cost Allocations-Recycle'!M66</f>
        <v>-2609.8615111052609</v>
      </c>
      <c r="N65" s="119">
        <f t="shared" si="8"/>
        <v>48942.78561098731</v>
      </c>
      <c r="O65" s="112"/>
      <c r="P65" s="112">
        <f t="shared" si="7"/>
        <v>48942.78561098731</v>
      </c>
    </row>
    <row r="66" spans="1:16">
      <c r="A66">
        <v>4613</v>
      </c>
      <c r="B66" t="s">
        <v>51</v>
      </c>
      <c r="C66" s="112">
        <f>+'Monthy Income Statements'!O65</f>
        <v>136928.57</v>
      </c>
      <c r="E66" s="112"/>
      <c r="F66" s="112">
        <f t="shared" si="13"/>
        <v>136928.57</v>
      </c>
      <c r="G66">
        <v>1</v>
      </c>
      <c r="H66" s="112">
        <f>+'Proforma AJEs'!H15</f>
        <v>-6928.570000000007</v>
      </c>
      <c r="J66" s="112">
        <f t="shared" si="14"/>
        <v>130000</v>
      </c>
      <c r="K66" s="112">
        <f>-'Cost Allocations-Contracts'!I67-'Cost Allocations-Contracts'!L67</f>
        <v>-18087.050902724259</v>
      </c>
      <c r="L66" s="112">
        <f>-'Cost Allocations-Recycle'!J67</f>
        <v>-2587.6072508910279</v>
      </c>
      <c r="M66" s="112">
        <f>-'Cost Allocations-Recycle'!M67</f>
        <v>-5534.6139878631184</v>
      </c>
      <c r="N66" s="119">
        <f t="shared" si="8"/>
        <v>103790.72785852158</v>
      </c>
      <c r="O66" s="112"/>
      <c r="P66" s="112">
        <f t="shared" si="7"/>
        <v>103790.72785852158</v>
      </c>
    </row>
    <row r="67" spans="1:16">
      <c r="A67">
        <v>4620</v>
      </c>
      <c r="B67" t="s">
        <v>52</v>
      </c>
      <c r="C67" s="112">
        <f>+'Monthy Income Statements'!O66</f>
        <v>48500.990000000005</v>
      </c>
      <c r="E67" s="112"/>
      <c r="F67" s="112">
        <f t="shared" si="13"/>
        <v>48500.990000000005</v>
      </c>
      <c r="H67" s="112"/>
      <c r="J67" s="112">
        <f t="shared" si="14"/>
        <v>48500.990000000005</v>
      </c>
      <c r="K67" s="112">
        <f>-'Cost Allocations-Contracts'!I68-'Cost Allocations-Contracts'!L68</f>
        <v>-6747.9990381732323</v>
      </c>
      <c r="L67" s="112">
        <f>-'Cost Allocations-Recycle'!J68</f>
        <v>-965.39625691840968</v>
      </c>
      <c r="M67" s="112">
        <f>-'Cost Allocations-Recycle'!M68</f>
        <v>-2064.8789052246866</v>
      </c>
      <c r="N67" s="119">
        <f t="shared" si="8"/>
        <v>38722.715799683676</v>
      </c>
      <c r="O67" s="112"/>
      <c r="P67" s="112">
        <f t="shared" si="7"/>
        <v>38722.715799683676</v>
      </c>
    </row>
    <row r="68" spans="1:16">
      <c r="A68">
        <v>4622</v>
      </c>
      <c r="B68" t="s">
        <v>53</v>
      </c>
      <c r="C68" s="112">
        <f>+'Monthy Income Statements'!O67</f>
        <v>0</v>
      </c>
      <c r="E68" s="112"/>
      <c r="F68" s="112">
        <f t="shared" si="13"/>
        <v>0</v>
      </c>
      <c r="H68" s="112"/>
      <c r="J68" s="112">
        <f t="shared" si="14"/>
        <v>0</v>
      </c>
      <c r="K68" s="112">
        <f>-'Cost Allocations-Contracts'!I69-'Cost Allocations-Contracts'!L69</f>
        <v>0</v>
      </c>
      <c r="L68" s="112">
        <f>-'Cost Allocations-Recycle'!J69</f>
        <v>0</v>
      </c>
      <c r="M68" s="112">
        <f>-'Cost Allocations-Recycle'!M69</f>
        <v>0</v>
      </c>
      <c r="N68" s="119">
        <f t="shared" si="8"/>
        <v>0</v>
      </c>
      <c r="O68" s="112"/>
      <c r="P68" s="112">
        <f t="shared" si="7"/>
        <v>0</v>
      </c>
    </row>
    <row r="69" spans="1:16">
      <c r="A69">
        <v>4624</v>
      </c>
      <c r="B69" t="s">
        <v>54</v>
      </c>
      <c r="C69" s="112">
        <f>+'Monthy Income Statements'!O68</f>
        <v>929.5</v>
      </c>
      <c r="E69" s="112"/>
      <c r="F69" s="112">
        <f t="shared" si="13"/>
        <v>929.5</v>
      </c>
      <c r="H69" s="112"/>
      <c r="J69" s="112">
        <f t="shared" si="14"/>
        <v>929.5</v>
      </c>
      <c r="K69" s="112">
        <f>-'Cost Allocations-Contracts'!I70-'Cost Allocations-Contracts'!L70</f>
        <v>-129.32241395447844</v>
      </c>
      <c r="L69" s="112">
        <f>-'Cost Allocations-Recycle'!J70</f>
        <v>-18.501391843870849</v>
      </c>
      <c r="M69" s="112">
        <f>-'Cost Allocations-Recycle'!M70</f>
        <v>-39.572490013221291</v>
      </c>
      <c r="N69" s="119">
        <f t="shared" si="8"/>
        <v>742.10370418842945</v>
      </c>
      <c r="O69" s="112"/>
      <c r="P69" s="112">
        <f t="shared" si="7"/>
        <v>742.10370418842945</v>
      </c>
    </row>
    <row r="70" spans="1:16">
      <c r="A70">
        <v>4625</v>
      </c>
      <c r="B70" t="s">
        <v>55</v>
      </c>
      <c r="C70" s="112">
        <f>+'Monthy Income Statements'!O69</f>
        <v>3070.6299999999997</v>
      </c>
      <c r="E70" s="112"/>
      <c r="F70" s="112">
        <f t="shared" si="13"/>
        <v>3070.6299999999997</v>
      </c>
      <c r="H70" s="112"/>
      <c r="J70" s="112">
        <f t="shared" si="14"/>
        <v>3070.6299999999997</v>
      </c>
      <c r="K70" s="112">
        <f>-'Cost Allocations-Contracts'!I71-'Cost Allocations-Contracts'!L71</f>
        <v>-427.22031625717057</v>
      </c>
      <c r="L70" s="112">
        <f>-'Cost Allocations-Recycle'!J71</f>
        <v>-61.119880406180897</v>
      </c>
      <c r="M70" s="112">
        <f>-'Cost Allocations-Recycle'!M71</f>
        <v>-130.72885961193941</v>
      </c>
      <c r="N70" s="119">
        <f t="shared" si="8"/>
        <v>2451.560943724709</v>
      </c>
      <c r="O70" s="112"/>
      <c r="P70" s="112">
        <f t="shared" si="7"/>
        <v>2451.560943724709</v>
      </c>
    </row>
    <row r="71" spans="1:16">
      <c r="A71">
        <v>4627</v>
      </c>
      <c r="B71" t="s">
        <v>56</v>
      </c>
      <c r="C71" s="112">
        <f>+'Monthy Income Statements'!O70</f>
        <v>719.56</v>
      </c>
      <c r="E71" s="112"/>
      <c r="F71" s="112">
        <f t="shared" si="13"/>
        <v>719.56</v>
      </c>
      <c r="H71" s="112"/>
      <c r="J71" s="112">
        <f t="shared" si="14"/>
        <v>719.56</v>
      </c>
      <c r="K71" s="112">
        <f>-'Cost Allocations-Contracts'!I72-'Cost Allocations-Contracts'!L72</f>
        <v>-100.11321805818665</v>
      </c>
      <c r="L71" s="112">
        <f>-'Cost Allocations-Recycle'!J72</f>
        <v>-14.322605180393447</v>
      </c>
      <c r="M71" s="112">
        <f>-'Cost Allocations-Recycle'!M72</f>
        <v>-30.634514162359885</v>
      </c>
      <c r="N71" s="119">
        <f t="shared" si="8"/>
        <v>574.4896625990599</v>
      </c>
      <c r="O71" s="112"/>
      <c r="P71" s="112">
        <f t="shared" si="7"/>
        <v>574.4896625990599</v>
      </c>
    </row>
    <row r="72" spans="1:16">
      <c r="A72">
        <v>4628</v>
      </c>
      <c r="B72" t="s">
        <v>1312</v>
      </c>
      <c r="C72" s="112">
        <f>+'Monthy Income Statements'!O71</f>
        <v>22633.739999999998</v>
      </c>
      <c r="E72" s="112"/>
      <c r="F72" s="112">
        <f t="shared" ref="F72" si="15">+C72+E72</f>
        <v>22633.739999999998</v>
      </c>
      <c r="H72" s="112"/>
      <c r="J72" s="112">
        <f t="shared" ref="J72" si="16">+F72+H72+I72</f>
        <v>22633.739999999998</v>
      </c>
      <c r="K72" s="112">
        <f>-'Cost Allocations-Contracts'!I73-'Cost Allocations-Contracts'!L73</f>
        <v>0</v>
      </c>
      <c r="L72" s="112">
        <f>-'Cost Allocations-Recycle'!J73</f>
        <v>-523.32844600382327</v>
      </c>
      <c r="M72" s="112">
        <f>-'Cost Allocations-Recycle'!M73</f>
        <v>0</v>
      </c>
      <c r="N72" s="119">
        <f t="shared" ref="N72" si="17">+J72+K72+L72+M72</f>
        <v>22110.411553996175</v>
      </c>
      <c r="O72" s="112"/>
      <c r="P72" s="112">
        <f t="shared" ref="P72" si="18">+N72+O72</f>
        <v>22110.411553996175</v>
      </c>
    </row>
    <row r="73" spans="1:16">
      <c r="A73">
        <v>4630</v>
      </c>
      <c r="B73" t="s">
        <v>57</v>
      </c>
      <c r="C73" s="112">
        <f>+'Monthy Income Statements'!O72</f>
        <v>525</v>
      </c>
      <c r="E73" s="112"/>
      <c r="F73" s="112">
        <f t="shared" si="13"/>
        <v>525</v>
      </c>
      <c r="H73" s="112"/>
      <c r="J73" s="112">
        <f t="shared" si="14"/>
        <v>525</v>
      </c>
      <c r="K73" s="112">
        <f>-'Cost Allocations-Contracts'!I74-'Cost Allocations-Contracts'!L74</f>
        <v>-73.043859414847958</v>
      </c>
      <c r="L73" s="112">
        <f>-'Cost Allocations-Recycle'!J74</f>
        <v>-10.449952359367613</v>
      </c>
      <c r="M73" s="112">
        <f>-'Cost Allocations-Recycle'!M74</f>
        <v>-22.351325720216437</v>
      </c>
      <c r="N73" s="119">
        <f t="shared" si="8"/>
        <v>419.15486250556802</v>
      </c>
      <c r="O73" s="112"/>
      <c r="P73" s="112">
        <f t="shared" si="7"/>
        <v>419.15486250556802</v>
      </c>
    </row>
    <row r="74" spans="1:16">
      <c r="A74">
        <v>4640</v>
      </c>
      <c r="B74" t="s">
        <v>58</v>
      </c>
      <c r="C74" s="112">
        <f>+'Monthy Income Statements'!O73</f>
        <v>15285.13</v>
      </c>
      <c r="E74" s="112"/>
      <c r="F74" s="112">
        <f t="shared" si="13"/>
        <v>15285.13</v>
      </c>
      <c r="H74" s="112"/>
      <c r="J74" s="112">
        <f t="shared" si="14"/>
        <v>15285.13</v>
      </c>
      <c r="K74" s="112">
        <f>-'Cost Allocations-Contracts'!I75-'Cost Allocations-Contracts'!L75</f>
        <v>-2126.6378797289044</v>
      </c>
      <c r="L74" s="112">
        <f>-'Cost Allocations-Recycle'!J75</f>
        <v>-304.24548629855366</v>
      </c>
      <c r="M74" s="112">
        <f>-'Cost Allocations-Recycle'!M75</f>
        <v>-650.7484177254322</v>
      </c>
      <c r="N74" s="119">
        <f t="shared" si="8"/>
        <v>12203.498216247108</v>
      </c>
      <c r="O74" s="112"/>
      <c r="P74" s="112">
        <f t="shared" si="7"/>
        <v>12203.498216247108</v>
      </c>
    </row>
    <row r="75" spans="1:16">
      <c r="A75">
        <v>4642</v>
      </c>
      <c r="B75" t="s">
        <v>1399</v>
      </c>
      <c r="C75" s="112">
        <f>+'Monthy Income Statements'!O74</f>
        <v>953.68</v>
      </c>
      <c r="E75" s="112"/>
      <c r="F75" s="112">
        <f t="shared" ref="F75" si="19">+C75+E75</f>
        <v>953.68</v>
      </c>
      <c r="H75" s="112"/>
      <c r="J75" s="112">
        <f t="shared" ref="J75" si="20">+F75+H75+I75</f>
        <v>953.68</v>
      </c>
      <c r="K75" s="112">
        <f>-'Cost Allocations-Contracts'!I76-'Cost Allocations-Contracts'!L76</f>
        <v>0</v>
      </c>
      <c r="L75" s="112">
        <f>-'Cost Allocations-Recycle'!J76</f>
        <v>-363.21776142618859</v>
      </c>
      <c r="M75" s="112">
        <f>-'Cost Allocations-Recycle'!M76</f>
        <v>-590.46223857381142</v>
      </c>
      <c r="N75" s="119">
        <f t="shared" ref="N75" si="21">+J75+K75+L75+M75</f>
        <v>0</v>
      </c>
      <c r="O75" s="112"/>
      <c r="P75" s="112">
        <f t="shared" ref="P75" si="22">+N75+O75</f>
        <v>0</v>
      </c>
    </row>
    <row r="76" spans="1:16">
      <c r="A76">
        <v>4650</v>
      </c>
      <c r="B76" t="s">
        <v>59</v>
      </c>
      <c r="C76" s="112">
        <f>+'Monthy Income Statements'!O75</f>
        <v>78116.320000000007</v>
      </c>
      <c r="E76" s="112"/>
      <c r="F76" s="112">
        <f t="shared" si="13"/>
        <v>78116.320000000007</v>
      </c>
      <c r="G76">
        <v>3</v>
      </c>
      <c r="H76" s="112">
        <f>+'Proforma AJEs'!H21</f>
        <v>26538.080000000002</v>
      </c>
      <c r="J76" s="112">
        <f t="shared" si="14"/>
        <v>104654.40000000001</v>
      </c>
      <c r="K76" s="112">
        <f>-'Cost Allocations-Contracts'!I77-'Cost Allocations-Contracts'!L77</f>
        <v>-14560.688153800504</v>
      </c>
      <c r="L76" s="112">
        <f>-'Cost Allocations-Recycle'!J77</f>
        <v>-2083.1114175203847</v>
      </c>
      <c r="M76" s="112">
        <f>-'Cost Allocations-Recycle'!M77</f>
        <v>-4455.5515856263228</v>
      </c>
      <c r="N76" s="119">
        <f t="shared" si="8"/>
        <v>83555.048843052791</v>
      </c>
      <c r="O76" s="112"/>
      <c r="P76" s="112">
        <f t="shared" si="7"/>
        <v>83555.048843052791</v>
      </c>
    </row>
    <row r="77" spans="1:16">
      <c r="A77">
        <v>4652</v>
      </c>
      <c r="B77" t="s">
        <v>60</v>
      </c>
      <c r="C77" s="112">
        <f>+'Monthy Income Statements'!O76</f>
        <v>10683.049999999997</v>
      </c>
      <c r="E77" s="112"/>
      <c r="F77" s="112">
        <f t="shared" si="13"/>
        <v>10683.049999999997</v>
      </c>
      <c r="H77" s="112"/>
      <c r="J77" s="112">
        <f t="shared" si="14"/>
        <v>10683.049999999997</v>
      </c>
      <c r="K77" s="112">
        <f>-'Cost Allocations-Contracts'!I78-'Cost Allocations-Contracts'!L78</f>
        <v>-1486.3451472796023</v>
      </c>
      <c r="L77" s="112">
        <f>-'Cost Allocations-Recycle'!J78</f>
        <v>-212.64259724331836</v>
      </c>
      <c r="M77" s="112">
        <f>-'Cost Allocations-Recycle'!M78</f>
        <v>-454.81967663877742</v>
      </c>
      <c r="N77" s="119">
        <f t="shared" si="8"/>
        <v>8529.2425788382989</v>
      </c>
      <c r="O77" s="112"/>
      <c r="P77" s="112">
        <f t="shared" si="7"/>
        <v>8529.2425788382989</v>
      </c>
    </row>
    <row r="78" spans="1:16">
      <c r="A78">
        <v>4660</v>
      </c>
      <c r="B78" t="s">
        <v>61</v>
      </c>
      <c r="C78" s="112">
        <f>+'Monthy Income Statements'!O77</f>
        <v>0</v>
      </c>
      <c r="E78" s="112"/>
      <c r="F78" s="112">
        <f t="shared" si="13"/>
        <v>0</v>
      </c>
      <c r="H78" s="112"/>
      <c r="J78" s="112">
        <f t="shared" si="14"/>
        <v>0</v>
      </c>
      <c r="K78" s="112">
        <f>-'Cost Allocations-Contracts'!I79-'Cost Allocations-Contracts'!L79</f>
        <v>0</v>
      </c>
      <c r="L78" s="112">
        <f>-'Cost Allocations-Recycle'!J79</f>
        <v>0</v>
      </c>
      <c r="M78" s="112">
        <f>-'Cost Allocations-Recycle'!M79</f>
        <v>0</v>
      </c>
      <c r="N78" s="119">
        <f t="shared" si="8"/>
        <v>0</v>
      </c>
      <c r="O78" s="112"/>
      <c r="P78" s="112">
        <f t="shared" si="7"/>
        <v>0</v>
      </c>
    </row>
    <row r="79" spans="1:16">
      <c r="A79">
        <v>4670</v>
      </c>
      <c r="B79" t="s">
        <v>62</v>
      </c>
      <c r="C79" s="112">
        <f>+'Monthy Income Statements'!O78</f>
        <v>0</v>
      </c>
      <c r="E79" s="112"/>
      <c r="F79" s="112">
        <f t="shared" si="13"/>
        <v>0</v>
      </c>
      <c r="H79" s="112"/>
      <c r="J79" s="112">
        <f t="shared" si="14"/>
        <v>0</v>
      </c>
      <c r="K79" s="112">
        <f>-'Cost Allocations-Contracts'!I80-'Cost Allocations-Contracts'!L80</f>
        <v>0</v>
      </c>
      <c r="L79" s="112">
        <f>-'Cost Allocations-Recycle'!J80</f>
        <v>0</v>
      </c>
      <c r="M79" s="112">
        <f>-'Cost Allocations-Recycle'!M80</f>
        <v>0</v>
      </c>
      <c r="N79" s="119">
        <f t="shared" si="8"/>
        <v>0</v>
      </c>
      <c r="O79" s="112"/>
      <c r="P79" s="112">
        <f t="shared" si="7"/>
        <v>0</v>
      </c>
    </row>
    <row r="80" spans="1:16">
      <c r="A80">
        <v>4680</v>
      </c>
      <c r="B80" t="s">
        <v>63</v>
      </c>
      <c r="C80" s="112">
        <f>+'Monthy Income Statements'!O79</f>
        <v>13958.2</v>
      </c>
      <c r="E80" s="112"/>
      <c r="F80" s="112">
        <f t="shared" si="13"/>
        <v>13958.2</v>
      </c>
      <c r="H80" s="112"/>
      <c r="J80" s="112">
        <f t="shared" si="14"/>
        <v>13958.2</v>
      </c>
      <c r="K80" s="112">
        <f>-'Cost Allocations-Contracts'!I81-'Cost Allocations-Contracts'!L81</f>
        <v>0</v>
      </c>
      <c r="L80" s="112">
        <f>-'Cost Allocations-Recycle'!J81</f>
        <v>-322.736017777467</v>
      </c>
      <c r="M80" s="112">
        <f>-'Cost Allocations-Recycle'!M81</f>
        <v>-690.29767858446621</v>
      </c>
      <c r="N80" s="119">
        <f t="shared" si="8"/>
        <v>12945.166303638069</v>
      </c>
      <c r="O80" s="112"/>
      <c r="P80" s="112">
        <f t="shared" si="7"/>
        <v>12945.166303638069</v>
      </c>
    </row>
    <row r="81" spans="1:16">
      <c r="A81">
        <v>4692</v>
      </c>
      <c r="B81" t="s">
        <v>64</v>
      </c>
      <c r="C81" s="112">
        <f>+'Monthy Income Statements'!O80</f>
        <v>12791.52</v>
      </c>
      <c r="E81" s="112"/>
      <c r="F81" s="112">
        <f t="shared" si="13"/>
        <v>12791.52</v>
      </c>
      <c r="G81">
        <v>4</v>
      </c>
      <c r="H81" s="112">
        <f>-'Proforma AJEs'!J30</f>
        <v>-1188</v>
      </c>
      <c r="J81" s="112">
        <f t="shared" si="14"/>
        <v>11603.52</v>
      </c>
      <c r="K81" s="112">
        <f>-'Cost Allocations-Contracts'!I82-'Cost Allocations-Contracts'!L82</f>
        <v>-1614.4112068521458</v>
      </c>
      <c r="L81" s="112">
        <f>-'Cost Allocations-Recycle'!J82</f>
        <v>-230.96424990660819</v>
      </c>
      <c r="M81" s="112">
        <f>-'Cost Allocations-Recycle'!M82</f>
        <v>-494.00772384961118</v>
      </c>
      <c r="N81" s="119">
        <f t="shared" si="8"/>
        <v>9264.1368193916351</v>
      </c>
      <c r="O81" s="112"/>
      <c r="P81" s="112">
        <f t="shared" si="7"/>
        <v>9264.1368193916351</v>
      </c>
    </row>
    <row r="82" spans="1:16">
      <c r="A82">
        <v>4694</v>
      </c>
      <c r="B82" t="s">
        <v>65</v>
      </c>
      <c r="C82" s="112">
        <f>+'Monthy Income Statements'!O81</f>
        <v>0</v>
      </c>
      <c r="E82" s="112"/>
      <c r="F82" s="112">
        <f t="shared" si="13"/>
        <v>0</v>
      </c>
      <c r="H82" s="112"/>
      <c r="J82" s="112">
        <f t="shared" si="14"/>
        <v>0</v>
      </c>
      <c r="K82" s="112">
        <f>-'Cost Allocations-Contracts'!I83-'Cost Allocations-Contracts'!L83</f>
        <v>0</v>
      </c>
      <c r="L82" s="112">
        <f>-'Cost Allocations-Recycle'!J83</f>
        <v>0</v>
      </c>
      <c r="M82" s="112">
        <f>-'Cost Allocations-Recycle'!M83</f>
        <v>0</v>
      </c>
      <c r="N82" s="119">
        <f t="shared" si="8"/>
        <v>0</v>
      </c>
      <c r="O82" s="112"/>
      <c r="P82" s="112">
        <f t="shared" si="7"/>
        <v>0</v>
      </c>
    </row>
    <row r="83" spans="1:16">
      <c r="A83">
        <v>4698</v>
      </c>
      <c r="B83" t="s">
        <v>66</v>
      </c>
      <c r="C83" s="112">
        <f>+'Monthy Income Statements'!O82</f>
        <v>849.97</v>
      </c>
      <c r="E83" s="112"/>
      <c r="F83" s="112">
        <f t="shared" si="13"/>
        <v>849.97</v>
      </c>
      <c r="H83" s="112"/>
      <c r="J83" s="112">
        <f t="shared" si="14"/>
        <v>849.97</v>
      </c>
      <c r="K83" s="112">
        <f>-'Cost Allocations-Contracts'!I84-'Cost Allocations-Contracts'!L84</f>
        <v>-118.2573127368349</v>
      </c>
      <c r="L83" s="112">
        <f>-'Cost Allocations-Recycle'!J84</f>
        <v>-16.918373346460363</v>
      </c>
      <c r="M83" s="112">
        <f>-'Cost Allocations-Recycle'!M84</f>
        <v>-36.186583471261656</v>
      </c>
      <c r="N83" s="119">
        <f t="shared" si="8"/>
        <v>678.60773044544305</v>
      </c>
      <c r="O83" s="112"/>
      <c r="P83" s="112">
        <f t="shared" si="7"/>
        <v>678.60773044544305</v>
      </c>
    </row>
    <row r="84" spans="1:16">
      <c r="A84" t="s">
        <v>19</v>
      </c>
      <c r="C84" s="112"/>
      <c r="E84" s="112"/>
      <c r="F84" s="112"/>
      <c r="H84" s="112"/>
      <c r="J84" s="112"/>
      <c r="K84" s="112"/>
      <c r="L84" s="112"/>
      <c r="M84" s="112"/>
      <c r="N84" s="119"/>
      <c r="O84" s="112"/>
      <c r="P84" s="112"/>
    </row>
    <row r="85" spans="1:16">
      <c r="A85">
        <v>5010</v>
      </c>
      <c r="B85" t="s">
        <v>67</v>
      </c>
      <c r="C85" s="112">
        <f>+'Monthy Income Statements'!O84</f>
        <v>257926</v>
      </c>
      <c r="D85">
        <v>1</v>
      </c>
      <c r="E85" s="112">
        <f>-'Restating AJEs'!I13</f>
        <v>10913</v>
      </c>
      <c r="F85" s="112">
        <f>+C85+E85</f>
        <v>268839</v>
      </c>
      <c r="H85" s="112"/>
      <c r="J85" s="112">
        <f>+F85+H85+I85</f>
        <v>268839</v>
      </c>
      <c r="K85" s="112">
        <f>-'Cost Allocations-Contracts'!I86-'Cost Allocations-Contracts'!L86</f>
        <v>-32225.867936022074</v>
      </c>
      <c r="L85" s="112">
        <f>-'Cost Allocations-Recycle'!J86</f>
        <v>-8207.4723381164749</v>
      </c>
      <c r="M85" s="112">
        <f>-'Cost Allocations-Recycle'!M86</f>
        <v>-3923.5518096211058</v>
      </c>
      <c r="N85" s="119">
        <f t="shared" si="8"/>
        <v>224482.10791624035</v>
      </c>
      <c r="O85" s="112"/>
      <c r="P85" s="112">
        <f t="shared" si="7"/>
        <v>224482.10791624035</v>
      </c>
    </row>
    <row r="86" spans="1:16">
      <c r="A86">
        <v>5100</v>
      </c>
      <c r="B86" t="s">
        <v>68</v>
      </c>
      <c r="C86" s="112">
        <f>+'Monthy Income Statements'!O85</f>
        <v>0</v>
      </c>
      <c r="D86">
        <v>2</v>
      </c>
      <c r="E86" s="112">
        <f>-'Restating AJEs'!I20</f>
        <v>-5714</v>
      </c>
      <c r="F86" s="112">
        <f>+C86+E86</f>
        <v>-5714</v>
      </c>
      <c r="G86">
        <v>13</v>
      </c>
      <c r="H86" s="112">
        <f>'Proforma AJEs'!J96</f>
        <v>-2170.25</v>
      </c>
      <c r="J86" s="112">
        <f>+F86+H86+I86</f>
        <v>-7884.25</v>
      </c>
      <c r="K86" s="112">
        <f>-'Cost Allocations-Contracts'!I87-'Cost Allocations-Contracts'!L87</f>
        <v>945.08906548001596</v>
      </c>
      <c r="L86" s="112">
        <f>-'Cost Allocations-Recycle'!J87</f>
        <v>240.7008052469873</v>
      </c>
      <c r="M86" s="112">
        <f>-'Cost Allocations-Recycle'!M87</f>
        <v>115.06613011878933</v>
      </c>
      <c r="N86" s="119">
        <f t="shared" si="8"/>
        <v>-6583.3939991542074</v>
      </c>
      <c r="O86" s="112"/>
      <c r="P86" s="112">
        <f t="shared" si="7"/>
        <v>-6583.3939991542074</v>
      </c>
    </row>
    <row r="87" spans="1:16">
      <c r="A87" t="s">
        <v>20</v>
      </c>
      <c r="C87" s="112"/>
      <c r="E87" s="112"/>
      <c r="F87" s="112"/>
      <c r="H87" s="112"/>
      <c r="J87" s="112"/>
      <c r="K87" s="112"/>
      <c r="L87" s="112"/>
      <c r="M87" s="112"/>
      <c r="N87" s="119"/>
      <c r="O87" s="112"/>
      <c r="P87" s="112"/>
    </row>
    <row r="88" spans="1:16">
      <c r="A88">
        <v>5151</v>
      </c>
      <c r="B88" t="s">
        <v>69</v>
      </c>
      <c r="C88" s="112">
        <f>+'Monthy Income Statements'!O87</f>
        <v>0</v>
      </c>
      <c r="E88" s="112"/>
      <c r="F88" s="112">
        <f>+C88+E88</f>
        <v>0</v>
      </c>
      <c r="H88" s="112"/>
      <c r="J88" s="112">
        <f>+F88+H88+I88</f>
        <v>0</v>
      </c>
      <c r="K88" s="112">
        <f>-'Cost Allocations-Contracts'!I89-'Cost Allocations-Contracts'!L89</f>
        <v>0</v>
      </c>
      <c r="L88" s="112"/>
      <c r="M88" s="112">
        <f>-'Cost Allocations-Recycle'!M89</f>
        <v>0</v>
      </c>
      <c r="N88" s="119">
        <f t="shared" si="8"/>
        <v>0</v>
      </c>
      <c r="O88" s="112"/>
      <c r="P88" s="112">
        <f t="shared" si="7"/>
        <v>0</v>
      </c>
    </row>
    <row r="89" spans="1:16">
      <c r="A89" t="s">
        <v>21</v>
      </c>
      <c r="C89" s="112"/>
      <c r="E89" s="112"/>
      <c r="F89" s="112"/>
      <c r="H89" s="112"/>
      <c r="J89" s="112"/>
      <c r="K89" s="112"/>
      <c r="L89" s="112"/>
      <c r="M89" s="112"/>
      <c r="N89" s="119"/>
      <c r="O89" s="112"/>
      <c r="P89" s="112"/>
    </row>
    <row r="90" spans="1:16">
      <c r="A90">
        <v>5220</v>
      </c>
      <c r="B90" t="s">
        <v>70</v>
      </c>
      <c r="C90" s="112">
        <f>+'Monthy Income Statements'!O89</f>
        <v>5676.75</v>
      </c>
      <c r="E90" s="112"/>
      <c r="F90" s="112">
        <f t="shared" ref="F90:F99" si="23">+C90+E90</f>
        <v>5676.75</v>
      </c>
      <c r="H90" s="112"/>
      <c r="J90" s="112">
        <f t="shared" ref="J90:J99" si="24">+F90+H90+I90</f>
        <v>5676.75</v>
      </c>
      <c r="K90" s="112">
        <f>-'Cost Allocations-Contracts'!I91-'Cost Allocations-Contracts'!L91</f>
        <v>-711.5302456513657</v>
      </c>
      <c r="L90" s="112">
        <f>-'Cost Allocations-Recycle'!J91</f>
        <v>-163.03983677295341</v>
      </c>
      <c r="M90" s="112">
        <f>-'Cost Allocations-Recycle'!M91</f>
        <v>0</v>
      </c>
      <c r="N90" s="119">
        <f t="shared" si="8"/>
        <v>4802.1799175756814</v>
      </c>
      <c r="O90" s="112"/>
      <c r="P90" s="112">
        <f t="shared" si="7"/>
        <v>4802.1799175756814</v>
      </c>
    </row>
    <row r="91" spans="1:16">
      <c r="A91">
        <v>5230</v>
      </c>
      <c r="B91" t="s">
        <v>71</v>
      </c>
      <c r="C91" s="112">
        <f>+'Monthy Income Statements'!O90</f>
        <v>2394.9899999999998</v>
      </c>
      <c r="E91" s="112"/>
      <c r="F91" s="112">
        <f t="shared" si="23"/>
        <v>2394.9899999999998</v>
      </c>
      <c r="H91" s="112"/>
      <c r="J91" s="112">
        <f t="shared" si="24"/>
        <v>2394.9899999999998</v>
      </c>
      <c r="K91" s="112">
        <f>-'Cost Allocations-Contracts'!I92-'Cost Allocations-Contracts'!L92</f>
        <v>-201.10603053435113</v>
      </c>
      <c r="L91" s="112">
        <f>-'Cost Allocations-Recycle'!J92</f>
        <v>0</v>
      </c>
      <c r="M91" s="112">
        <f>-'Cost Allocations-Recycle'!M92</f>
        <v>0</v>
      </c>
      <c r="N91" s="119">
        <f t="shared" si="8"/>
        <v>2193.8839694656485</v>
      </c>
      <c r="O91" s="112"/>
      <c r="P91" s="112">
        <f t="shared" si="7"/>
        <v>2193.8839694656485</v>
      </c>
    </row>
    <row r="92" spans="1:16">
      <c r="A92">
        <v>5240</v>
      </c>
      <c r="B92" t="s">
        <v>72</v>
      </c>
      <c r="C92" s="112">
        <f>+'Monthy Income Statements'!O91</f>
        <v>55882.060000000005</v>
      </c>
      <c r="E92" s="112"/>
      <c r="F92" s="112">
        <f t="shared" si="23"/>
        <v>55882.060000000005</v>
      </c>
      <c r="H92" s="112"/>
      <c r="J92" s="112">
        <f t="shared" si="24"/>
        <v>55882.060000000005</v>
      </c>
      <c r="K92" s="112">
        <f>-'Cost Allocations-Contracts'!I93-'Cost Allocations-Contracts'!L93</f>
        <v>-7004.3204085620036</v>
      </c>
      <c r="L92" s="112">
        <f>-'Cost Allocations-Recycle'!J93</f>
        <v>-1187.4705983952354</v>
      </c>
      <c r="M92" s="112">
        <f>-'Cost Allocations-Recycle'!M93</f>
        <v>-1977.5911421418282</v>
      </c>
      <c r="N92" s="119">
        <f t="shared" si="8"/>
        <v>45712.677850900938</v>
      </c>
      <c r="O92" s="112"/>
      <c r="P92" s="112">
        <f t="shared" si="7"/>
        <v>45712.677850900938</v>
      </c>
    </row>
    <row r="93" spans="1:16">
      <c r="A93">
        <v>5241</v>
      </c>
      <c r="B93" t="s">
        <v>73</v>
      </c>
      <c r="C93" s="112">
        <f>+'Monthy Income Statements'!O92</f>
        <v>678.04000000000008</v>
      </c>
      <c r="E93" s="112"/>
      <c r="F93" s="112">
        <f t="shared" si="23"/>
        <v>678.04000000000008</v>
      </c>
      <c r="H93" s="112"/>
      <c r="J93" s="112">
        <f t="shared" si="24"/>
        <v>678.04000000000008</v>
      </c>
      <c r="K93" s="112">
        <f>-'Cost Allocations-Contracts'!I94-'Cost Allocations-Contracts'!L94</f>
        <v>-84.986298103924256</v>
      </c>
      <c r="L93" s="112">
        <f>-'Cost Allocations-Recycle'!J94</f>
        <v>-93.134948893743953</v>
      </c>
      <c r="M93" s="112">
        <f>-'Cost Allocations-Recycle'!M94</f>
        <v>-155.10518761896694</v>
      </c>
      <c r="N93" s="119">
        <f>+J93+K93+L93+M93</f>
        <v>344.8135653833649</v>
      </c>
      <c r="O93" s="112"/>
      <c r="P93" s="112">
        <f t="shared" si="7"/>
        <v>344.8135653833649</v>
      </c>
    </row>
    <row r="94" spans="1:16">
      <c r="A94">
        <v>5242</v>
      </c>
      <c r="B94" t="s">
        <v>74</v>
      </c>
      <c r="C94" s="112">
        <f>+'Monthy Income Statements'!O93</f>
        <v>5208.82</v>
      </c>
      <c r="E94" s="112"/>
      <c r="F94" s="112">
        <f t="shared" si="23"/>
        <v>5208.82</v>
      </c>
      <c r="G94">
        <v>11</v>
      </c>
      <c r="H94" s="112">
        <f>+'Proforma AJEs'!H71</f>
        <v>613.375</v>
      </c>
      <c r="J94" s="112">
        <f t="shared" si="24"/>
        <v>5822.1949999999997</v>
      </c>
      <c r="K94" s="112">
        <f>-'Cost Allocations-Contracts'!I95-'Cost Allocations-Contracts'!L95</f>
        <v>-729.76048594356848</v>
      </c>
      <c r="L94" s="112">
        <f>-'Cost Allocations-Recycle'!J95</f>
        <v>-20.179238926977856</v>
      </c>
      <c r="M94" s="112">
        <f>-'Cost Allocations-Recycle'!M95</f>
        <v>-33.606123984109495</v>
      </c>
      <c r="N94" s="119">
        <f>+J94+K94+L94+M94</f>
        <v>5038.6491511453441</v>
      </c>
      <c r="O94" s="112"/>
      <c r="P94" s="112">
        <f t="shared" si="7"/>
        <v>5038.6491511453441</v>
      </c>
    </row>
    <row r="95" spans="1:16">
      <c r="A95">
        <v>5260</v>
      </c>
      <c r="B95" t="s">
        <v>75</v>
      </c>
      <c r="C95" s="112">
        <f>+'Monthy Income Statements'!O94</f>
        <v>55794.270000000004</v>
      </c>
      <c r="E95" s="112"/>
      <c r="F95" s="112">
        <f t="shared" si="23"/>
        <v>55794.270000000004</v>
      </c>
      <c r="G95">
        <v>7</v>
      </c>
      <c r="H95" s="112">
        <f>'Proforma AJEs'!I44</f>
        <v>65.229178875000443</v>
      </c>
      <c r="J95" s="112">
        <f t="shared" si="24"/>
        <v>55859.499178875005</v>
      </c>
      <c r="K95" s="112">
        <f>-'Cost Allocations-Contracts'!I96-'Cost Allocations-Contracts'!L96</f>
        <v>-7157.1161874234804</v>
      </c>
      <c r="L95" s="112">
        <f>-'Cost Allocations-Recycle'!J96</f>
        <v>-838.420857429335</v>
      </c>
      <c r="M95" s="112">
        <f>-'Cost Allocations-Recycle'!M96</f>
        <v>-1362.9725991395453</v>
      </c>
      <c r="N95" s="119">
        <f>+J95+K95+L95+M95</f>
        <v>46500.989534882639</v>
      </c>
      <c r="O95" s="112">
        <f>+O21*'General Data'!$E$10</f>
        <v>1643.9412500000001</v>
      </c>
      <c r="P95" s="112">
        <f t="shared" si="7"/>
        <v>48144.930784882643</v>
      </c>
    </row>
    <row r="96" spans="1:16">
      <c r="A96">
        <v>5270</v>
      </c>
      <c r="B96" t="s">
        <v>76</v>
      </c>
      <c r="C96" s="112">
        <f>+'Monthy Income Statements'!O95</f>
        <v>7990.68</v>
      </c>
      <c r="E96" s="112"/>
      <c r="F96" s="112">
        <f t="shared" si="23"/>
        <v>7990.68</v>
      </c>
      <c r="H96" s="112"/>
      <c r="J96" s="112">
        <f t="shared" si="24"/>
        <v>7990.68</v>
      </c>
      <c r="K96" s="112">
        <f>-'Cost Allocations-Contracts'!I97-'Cost Allocations-Contracts'!L97</f>
        <v>0</v>
      </c>
      <c r="L96" s="112">
        <f>-'Cost Allocations-Recycle'!J97</f>
        <v>0</v>
      </c>
      <c r="M96" s="112">
        <f>-'Cost Allocations-Recycle'!M97</f>
        <v>0</v>
      </c>
      <c r="N96" s="119">
        <f>+J96+K96+L96+M96</f>
        <v>7990.68</v>
      </c>
      <c r="O96" s="112"/>
      <c r="P96" s="112">
        <f t="shared" si="7"/>
        <v>7990.68</v>
      </c>
    </row>
    <row r="97" spans="1:16">
      <c r="A97">
        <v>5290</v>
      </c>
      <c r="B97" t="s">
        <v>77</v>
      </c>
      <c r="C97" s="112">
        <f>+'Monthy Income Statements'!O96</f>
        <v>233.63</v>
      </c>
      <c r="E97" s="112"/>
      <c r="F97" s="112">
        <f t="shared" si="23"/>
        <v>233.63</v>
      </c>
      <c r="H97" s="112"/>
      <c r="J97" s="112">
        <f t="shared" si="24"/>
        <v>233.63</v>
      </c>
      <c r="K97" s="112">
        <f>-'Cost Allocations-Contracts'!I98-'Cost Allocations-Contracts'!L98</f>
        <v>-29.283447622588373</v>
      </c>
      <c r="L97" s="112">
        <f>-'Cost Allocations-Recycle'!J98</f>
        <v>-6.7100008042040082</v>
      </c>
      <c r="M97" s="112">
        <f>-'Cost Allocations-Recycle'!M98</f>
        <v>0</v>
      </c>
      <c r="N97" s="119">
        <f>+J97+K97+L97+M97</f>
        <v>197.63655157320761</v>
      </c>
      <c r="O97" s="112"/>
      <c r="P97" s="112">
        <f t="shared" si="7"/>
        <v>197.63655157320761</v>
      </c>
    </row>
    <row r="98" spans="1:16">
      <c r="A98" t="s">
        <v>22</v>
      </c>
      <c r="C98" s="112"/>
      <c r="E98" s="112"/>
      <c r="F98" s="112"/>
      <c r="H98" s="112"/>
      <c r="J98" s="112"/>
      <c r="K98" s="112"/>
      <c r="L98" s="112"/>
      <c r="M98" s="112"/>
      <c r="N98" s="119"/>
      <c r="O98" s="112"/>
      <c r="P98" s="112"/>
    </row>
    <row r="99" spans="1:16">
      <c r="A99">
        <v>5320</v>
      </c>
      <c r="B99" t="s">
        <v>78</v>
      </c>
      <c r="C99" s="112">
        <f>+'Monthy Income Statements'!O98</f>
        <v>88512</v>
      </c>
      <c r="E99" s="112"/>
      <c r="F99" s="112">
        <f t="shared" si="23"/>
        <v>88512</v>
      </c>
      <c r="G99">
        <v>12</v>
      </c>
      <c r="H99" s="112">
        <f>'Proforma AJEs'!H74</f>
        <v>4440</v>
      </c>
      <c r="J99" s="112">
        <f t="shared" si="24"/>
        <v>92952</v>
      </c>
      <c r="K99" s="112">
        <f>-'Cost Allocations-Contracts'!I100-'Cost Allocations-Contracts'!L100</f>
        <v>-12932.519657769424</v>
      </c>
      <c r="L99" s="112">
        <f>-'Cost Allocations-Recycle'!J100</f>
        <v>0</v>
      </c>
      <c r="M99" s="112">
        <f>-'Cost Allocations-Recycle'!M100</f>
        <v>0</v>
      </c>
      <c r="N99" s="119">
        <f>+J99+K99+L99+M99</f>
        <v>80019.48034223057</v>
      </c>
      <c r="O99" s="112"/>
      <c r="P99" s="112">
        <f>+N99+O99</f>
        <v>80019.48034223057</v>
      </c>
    </row>
    <row r="100" spans="1:16" ht="13.5" thickBot="1">
      <c r="A100">
        <v>5322</v>
      </c>
      <c r="B100" s="83" t="s">
        <v>370</v>
      </c>
      <c r="C100" s="113">
        <f>+'Monthy Income Statements'!O99</f>
        <v>28800</v>
      </c>
      <c r="D100" s="5"/>
      <c r="E100" s="113"/>
      <c r="F100" s="113">
        <f>+C100+E100</f>
        <v>28800</v>
      </c>
      <c r="G100" s="5">
        <v>12</v>
      </c>
      <c r="H100" s="113">
        <f>'Proforma AJEs'!H75</f>
        <v>1052</v>
      </c>
      <c r="I100" s="5"/>
      <c r="J100" s="113">
        <f>+F100+H100+I100</f>
        <v>29852</v>
      </c>
      <c r="K100" s="113">
        <f>-'Cost Allocations-Contracts'!I101-'Cost Allocations-Contracts'!L101</f>
        <v>0</v>
      </c>
      <c r="L100" s="113">
        <f>-'Cost Allocations-Recycle'!J101</f>
        <v>-11369.407572869917</v>
      </c>
      <c r="M100" s="113">
        <f>-'Cost Allocations-Recycle'!M101</f>
        <v>-18482.592427130086</v>
      </c>
      <c r="N100" s="120">
        <f>+J100+K100+L100+M100</f>
        <v>0</v>
      </c>
      <c r="O100" s="113"/>
      <c r="P100" s="113">
        <f>+N100+O100</f>
        <v>0</v>
      </c>
    </row>
    <row r="101" spans="1:16">
      <c r="C101" s="112"/>
      <c r="E101" s="112"/>
      <c r="F101" s="112"/>
      <c r="H101" s="112"/>
      <c r="J101" s="112"/>
      <c r="K101" s="112"/>
      <c r="L101" s="112"/>
      <c r="M101" s="112"/>
      <c r="N101" s="119"/>
      <c r="O101" s="112"/>
      <c r="P101" s="112"/>
    </row>
    <row r="102" spans="1:16" ht="13.5" thickBot="1">
      <c r="B102" t="s">
        <v>23</v>
      </c>
      <c r="C102" s="113">
        <f>SUM(C25:C100)</f>
        <v>2885118.0920000006</v>
      </c>
      <c r="D102" s="5"/>
      <c r="E102" s="113">
        <f>SUM(E25:E100)</f>
        <v>5199</v>
      </c>
      <c r="F102" s="113">
        <f>SUM(F25:F100)</f>
        <v>2890317.0920000006</v>
      </c>
      <c r="G102" s="5"/>
      <c r="H102" s="113">
        <f t="shared" ref="H102:P102" si="25">SUM(H25:H100)</f>
        <v>96397.090528875051</v>
      </c>
      <c r="I102" s="7">
        <f t="shared" si="25"/>
        <v>0</v>
      </c>
      <c r="J102" s="113">
        <f t="shared" si="25"/>
        <v>2986714.1825288762</v>
      </c>
      <c r="K102" s="113">
        <f t="shared" si="25"/>
        <v>-347162.69158580125</v>
      </c>
      <c r="L102" s="113">
        <f t="shared" si="25"/>
        <v>-52200.455448471213</v>
      </c>
      <c r="M102" s="113">
        <f t="shared" si="25"/>
        <v>-80680.280422048774</v>
      </c>
      <c r="N102" s="120">
        <f t="shared" si="25"/>
        <v>2506670.755072555</v>
      </c>
      <c r="O102" s="113">
        <f t="shared" si="25"/>
        <v>1643.9412500000001</v>
      </c>
      <c r="P102" s="113">
        <f t="shared" si="25"/>
        <v>2508314.6963225547</v>
      </c>
    </row>
    <row r="103" spans="1:16">
      <c r="C103" s="112"/>
      <c r="E103" s="112"/>
      <c r="F103" s="112"/>
      <c r="H103" s="112"/>
      <c r="I103" s="6"/>
      <c r="J103" s="112"/>
      <c r="K103" s="112"/>
      <c r="L103" s="112"/>
      <c r="M103" s="112"/>
      <c r="N103" s="121"/>
      <c r="O103" s="112"/>
      <c r="P103" s="112"/>
    </row>
    <row r="104" spans="1:16" ht="13.5" thickBot="1">
      <c r="B104" t="s">
        <v>24</v>
      </c>
      <c r="C104" s="113">
        <f>+C21-C102</f>
        <v>267558.30899999943</v>
      </c>
      <c r="D104" s="5"/>
      <c r="E104" s="113">
        <f>+E21-E102</f>
        <v>-4180.4999999999854</v>
      </c>
      <c r="F104" s="113">
        <f>+F21-F102</f>
        <v>263377.80899999943</v>
      </c>
      <c r="G104" s="5"/>
      <c r="H104" s="113">
        <f t="shared" ref="H104:P104" si="26">+H21-H102</f>
        <v>-92669.708878875026</v>
      </c>
      <c r="I104" s="7">
        <f t="shared" si="26"/>
        <v>0</v>
      </c>
      <c r="J104" s="113">
        <f t="shared" si="26"/>
        <v>170708.10012112372</v>
      </c>
      <c r="K104" s="113">
        <f t="shared" si="26"/>
        <v>-57388.700064198696</v>
      </c>
      <c r="L104" s="113">
        <f t="shared" si="26"/>
        <v>4809.2554484712164</v>
      </c>
      <c r="M104" s="113">
        <f t="shared" si="26"/>
        <v>3639.1304220487655</v>
      </c>
      <c r="N104" s="120">
        <f t="shared" si="26"/>
        <v>121767.78592744516</v>
      </c>
      <c r="O104" s="113">
        <f t="shared" si="26"/>
        <v>92295.558749999997</v>
      </c>
      <c r="P104" s="113">
        <f t="shared" si="26"/>
        <v>214063.34467744548</v>
      </c>
    </row>
    <row r="105" spans="1:16">
      <c r="C105" s="6"/>
      <c r="E105" s="6"/>
      <c r="F105" s="6"/>
      <c r="J105" s="6"/>
      <c r="N105" s="6"/>
    </row>
    <row r="106" spans="1:16">
      <c r="B106" t="s">
        <v>102</v>
      </c>
      <c r="C106" s="10">
        <f>+C102/C21</f>
        <v>0.91513296165913749</v>
      </c>
      <c r="E106" s="10"/>
      <c r="F106" s="10">
        <f>+F102/F21</f>
        <v>0.91648595781523279</v>
      </c>
      <c r="J106" s="10">
        <f>+J102/J21</f>
        <v>0.94593434617245753</v>
      </c>
      <c r="K106" s="10">
        <f>+K102/K21</f>
        <v>0.85814237387706516</v>
      </c>
      <c r="L106" s="10">
        <f>+L102/L21</f>
        <v>1.1014799255657426</v>
      </c>
      <c r="M106" s="10">
        <f>+M102/M21</f>
        <v>1.0472361902963385</v>
      </c>
      <c r="N106" s="10">
        <f>+N102/N21</f>
        <v>0.95367295676576169</v>
      </c>
      <c r="P106" s="10">
        <f>+P102/P21</f>
        <v>0.92136898643260634</v>
      </c>
    </row>
    <row r="107" spans="1:16">
      <c r="C107" s="6"/>
    </row>
    <row r="108" spans="1:16">
      <c r="B108" t="s">
        <v>103</v>
      </c>
      <c r="C108" s="114">
        <f>'Depr Allocation'!AD18</f>
        <v>1163216.9069047619</v>
      </c>
      <c r="D108" s="112"/>
      <c r="E108" s="112"/>
      <c r="F108" s="112">
        <f>+C108</f>
        <v>1163216.9069047619</v>
      </c>
      <c r="G108" s="112"/>
      <c r="H108" s="112"/>
      <c r="I108" s="112"/>
      <c r="J108" s="112">
        <f>+F108</f>
        <v>1163216.9069047619</v>
      </c>
      <c r="K108" s="112">
        <f>+'Depr Allocation'!AD14+'Depr Allocation'!AD16</f>
        <v>131890.98042712628</v>
      </c>
      <c r="L108" s="112">
        <f>(J108-K108)*L109</f>
        <v>35773.918967687729</v>
      </c>
      <c r="M108" s="112">
        <f>(J108-K108)*M109</f>
        <v>17101.589712469417</v>
      </c>
      <c r="N108" s="112">
        <f>+J108-K108-L108-M108</f>
        <v>978450.4177974785</v>
      </c>
      <c r="O108" s="112"/>
      <c r="P108" s="112">
        <f>+N108-O108</f>
        <v>978450.4177974785</v>
      </c>
    </row>
    <row r="109" spans="1:16">
      <c r="C109" s="6"/>
      <c r="K109" s="51"/>
      <c r="L109" s="51">
        <f>'Depr Allocation'!N40</f>
        <v>3.4687306940754475E-2</v>
      </c>
      <c r="M109" s="51">
        <f>'Depr Allocation'!N38</f>
        <v>1.6582138850011995E-2</v>
      </c>
      <c r="N109" s="10">
        <f>+N108/J108</f>
        <v>0.84115904092304328</v>
      </c>
    </row>
    <row r="110" spans="1:16">
      <c r="C110" s="6"/>
    </row>
    <row r="111" spans="1:16">
      <c r="C111" s="6"/>
    </row>
    <row r="112" spans="1:16">
      <c r="C112" s="6"/>
    </row>
    <row r="113" spans="3:3">
      <c r="C113" s="6"/>
    </row>
    <row r="114" spans="3:3">
      <c r="C114" s="6"/>
    </row>
    <row r="115" spans="3:3">
      <c r="C115" s="6"/>
    </row>
  </sheetData>
  <phoneticPr fontId="0" type="noConversion"/>
  <pageMargins left="0.25" right="0.42" top="0.5" bottom="0.5" header="0.5" footer="0.5"/>
  <pageSetup scale="68" fitToHeight="2" orientation="landscape" horizontalDpi="4294967293" verticalDpi="4294967293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8"/>
  <sheetViews>
    <sheetView workbookViewId="0"/>
  </sheetViews>
  <sheetFormatPr defaultRowHeight="12.75"/>
  <cols>
    <col min="5" max="5" width="13.140625" customWidth="1"/>
    <col min="8" max="8" width="13.85546875" customWidth="1"/>
    <col min="9" max="9" width="12.85546875" customWidth="1"/>
    <col min="13" max="13" width="11.7109375" customWidth="1"/>
    <col min="16" max="16" width="11.7109375" customWidth="1"/>
    <col min="17" max="17" width="12.7109375" customWidth="1"/>
    <col min="21" max="21" width="11.42578125" customWidth="1"/>
    <col min="24" max="24" width="11.28515625" customWidth="1"/>
    <col min="25" max="25" width="12" customWidth="1"/>
    <col min="27" max="27" width="11.140625" customWidth="1"/>
    <col min="28" max="28" width="12.140625" customWidth="1"/>
  </cols>
  <sheetData>
    <row r="1" spans="1:27">
      <c r="A1" t="s">
        <v>0</v>
      </c>
    </row>
    <row r="2" spans="1:27">
      <c r="A2" t="s">
        <v>609</v>
      </c>
      <c r="F2" s="643" t="s">
        <v>1342</v>
      </c>
      <c r="G2" s="647" t="s">
        <v>689</v>
      </c>
      <c r="H2" t="s">
        <v>608</v>
      </c>
    </row>
    <row r="3" spans="1:27">
      <c r="A3" s="651" t="s">
        <v>1456</v>
      </c>
      <c r="H3" t="s">
        <v>607</v>
      </c>
    </row>
    <row r="5" spans="1:27">
      <c r="C5" s="785" t="s">
        <v>606</v>
      </c>
      <c r="D5" s="785"/>
      <c r="E5" s="785"/>
      <c r="F5" s="785" t="s">
        <v>605</v>
      </c>
      <c r="G5" s="785"/>
      <c r="H5" s="785"/>
      <c r="I5" s="251" t="s">
        <v>473</v>
      </c>
      <c r="K5" s="785" t="s">
        <v>606</v>
      </c>
      <c r="L5" s="785"/>
      <c r="M5" s="785"/>
      <c r="N5" s="785" t="s">
        <v>605</v>
      </c>
      <c r="O5" s="785"/>
      <c r="P5" s="785"/>
      <c r="Q5" s="251" t="s">
        <v>472</v>
      </c>
      <c r="S5" s="785" t="s">
        <v>606</v>
      </c>
      <c r="T5" s="785"/>
      <c r="U5" s="785"/>
      <c r="V5" s="785" t="s">
        <v>605</v>
      </c>
      <c r="W5" s="785"/>
      <c r="X5" s="785"/>
      <c r="Y5" s="251" t="s">
        <v>471</v>
      </c>
      <c r="AA5" s="251" t="s">
        <v>113</v>
      </c>
    </row>
    <row r="6" spans="1:27" ht="13.5" thickBot="1">
      <c r="C6" s="137" t="s">
        <v>604</v>
      </c>
      <c r="D6" s="5"/>
      <c r="E6" s="5"/>
      <c r="F6" s="137" t="s">
        <v>603</v>
      </c>
      <c r="G6" s="5"/>
      <c r="H6" s="5"/>
      <c r="I6" s="252" t="s">
        <v>489</v>
      </c>
      <c r="K6" s="137" t="s">
        <v>464</v>
      </c>
      <c r="L6" s="5"/>
      <c r="M6" s="5"/>
      <c r="N6" s="137" t="s">
        <v>464</v>
      </c>
      <c r="O6" s="5"/>
      <c r="P6" s="5"/>
      <c r="Q6" s="252" t="s">
        <v>489</v>
      </c>
      <c r="S6" s="137" t="s">
        <v>532</v>
      </c>
      <c r="T6" s="5"/>
      <c r="U6" s="5"/>
      <c r="V6" s="137" t="s">
        <v>532</v>
      </c>
      <c r="W6" s="5"/>
      <c r="X6" s="5"/>
      <c r="Y6" s="252" t="s">
        <v>489</v>
      </c>
      <c r="AA6" s="251" t="s">
        <v>602</v>
      </c>
    </row>
    <row r="7" spans="1:27" ht="13.5" thickBot="1">
      <c r="C7" s="653" t="s">
        <v>1470</v>
      </c>
      <c r="D7" s="5"/>
      <c r="E7" s="5"/>
      <c r="F7" s="653" t="str">
        <f>+C7</f>
        <v xml:space="preserve">  October 2021 - September 2022</v>
      </c>
      <c r="G7" s="5"/>
      <c r="H7" s="5"/>
      <c r="I7" s="252" t="s">
        <v>602</v>
      </c>
      <c r="K7" s="653" t="str">
        <f>+C7</f>
        <v xml:space="preserve">  October 2021 - September 2022</v>
      </c>
      <c r="L7" s="5"/>
      <c r="M7" s="5"/>
      <c r="N7" s="653" t="str">
        <f>+F7</f>
        <v xml:space="preserve">  October 2021 - September 2022</v>
      </c>
      <c r="O7" s="5"/>
      <c r="P7" s="5"/>
      <c r="Q7" s="252" t="s">
        <v>602</v>
      </c>
      <c r="R7" s="18"/>
      <c r="S7" s="653" t="str">
        <f>+K7</f>
        <v xml:space="preserve">  October 2021 - September 2022</v>
      </c>
      <c r="T7" s="5"/>
      <c r="U7" s="5"/>
      <c r="V7" s="653" t="str">
        <f>+N7</f>
        <v xml:space="preserve">  October 2021 - September 2022</v>
      </c>
      <c r="W7" s="5"/>
      <c r="X7" s="5"/>
      <c r="Y7" s="252" t="s">
        <v>602</v>
      </c>
      <c r="Z7" s="18"/>
      <c r="AA7" s="251" t="s">
        <v>104</v>
      </c>
    </row>
    <row r="8" spans="1:27">
      <c r="C8" s="2"/>
      <c r="D8" s="2" t="s">
        <v>601</v>
      </c>
      <c r="E8" s="2"/>
      <c r="F8" s="2"/>
      <c r="G8" s="2" t="s">
        <v>455</v>
      </c>
      <c r="H8" s="2"/>
      <c r="I8" s="250" t="s">
        <v>89</v>
      </c>
      <c r="K8" s="2"/>
      <c r="L8" s="2" t="s">
        <v>601</v>
      </c>
      <c r="M8" s="2"/>
      <c r="N8" s="2"/>
      <c r="O8" s="2" t="s">
        <v>455</v>
      </c>
      <c r="P8" s="2"/>
      <c r="Q8" s="250" t="s">
        <v>89</v>
      </c>
      <c r="R8" s="18"/>
      <c r="S8" s="2"/>
      <c r="T8" s="2"/>
      <c r="U8" s="2"/>
      <c r="V8" s="2"/>
      <c r="W8" s="2"/>
      <c r="X8" s="2"/>
      <c r="Y8" s="250" t="s">
        <v>89</v>
      </c>
      <c r="Z8" s="93"/>
      <c r="AA8" s="249" t="s">
        <v>89</v>
      </c>
    </row>
    <row r="9" spans="1:27" ht="13.5" thickBot="1">
      <c r="A9" s="5" t="s">
        <v>450</v>
      </c>
      <c r="B9" s="5"/>
      <c r="C9" s="20" t="s">
        <v>198</v>
      </c>
      <c r="D9" s="20" t="s">
        <v>99</v>
      </c>
      <c r="E9" s="20" t="s">
        <v>2</v>
      </c>
      <c r="F9" s="20" t="s">
        <v>198</v>
      </c>
      <c r="G9" s="20" t="s">
        <v>99</v>
      </c>
      <c r="H9" s="20" t="s">
        <v>2</v>
      </c>
      <c r="I9" s="248" t="s">
        <v>2</v>
      </c>
      <c r="K9" s="20" t="s">
        <v>198</v>
      </c>
      <c r="L9" s="20" t="s">
        <v>99</v>
      </c>
      <c r="M9" s="20" t="s">
        <v>2</v>
      </c>
      <c r="N9" s="20" t="s">
        <v>198</v>
      </c>
      <c r="O9" s="20" t="s">
        <v>99</v>
      </c>
      <c r="P9" s="20" t="s">
        <v>2</v>
      </c>
      <c r="Q9" s="248" t="s">
        <v>2</v>
      </c>
      <c r="R9" s="18"/>
      <c r="S9" s="20" t="s">
        <v>198</v>
      </c>
      <c r="T9" s="20" t="s">
        <v>99</v>
      </c>
      <c r="U9" s="20" t="s">
        <v>2</v>
      </c>
      <c r="V9" s="20" t="s">
        <v>198</v>
      </c>
      <c r="W9" s="20" t="s">
        <v>99</v>
      </c>
      <c r="X9" s="20" t="s">
        <v>2</v>
      </c>
      <c r="Y9" s="248" t="s">
        <v>2</v>
      </c>
      <c r="Z9" s="93"/>
      <c r="AA9" s="247" t="s">
        <v>113</v>
      </c>
    </row>
    <row r="10" spans="1:27">
      <c r="A10" t="s">
        <v>447</v>
      </c>
      <c r="I10" s="134"/>
      <c r="Q10" s="134"/>
      <c r="R10" s="18"/>
      <c r="Y10" s="134"/>
      <c r="Z10" s="18"/>
    </row>
    <row r="11" spans="1:27">
      <c r="A11" t="s">
        <v>446</v>
      </c>
      <c r="C11" s="122">
        <f>'Service Counts'!C10</f>
        <v>9</v>
      </c>
      <c r="D11" s="72">
        <f>'Service Counts'!D10</f>
        <v>16.149999999999999</v>
      </c>
      <c r="E11" s="56">
        <f t="shared" ref="E11:E32" si="0">+C11*D11</f>
        <v>145.35</v>
      </c>
      <c r="F11" s="122">
        <f t="shared" ref="F11:F32" si="1">+C11</f>
        <v>9</v>
      </c>
      <c r="G11" s="72">
        <f>'Service Counts'!G10</f>
        <v>16.149999999999999</v>
      </c>
      <c r="H11" s="56">
        <f t="shared" ref="H11:H32" si="2">+F11*G11</f>
        <v>145.35</v>
      </c>
      <c r="I11" s="178">
        <f t="shared" ref="I11:I32" si="3">+H11-E11</f>
        <v>0</v>
      </c>
      <c r="K11" s="244">
        <f>'Service Counts'!L10</f>
        <v>0</v>
      </c>
      <c r="L11" s="72">
        <f>'Service Counts'!M10</f>
        <v>13.65</v>
      </c>
      <c r="M11" s="56">
        <f t="shared" ref="M11:M32" si="4">+K11*L11</f>
        <v>0</v>
      </c>
      <c r="N11" s="244">
        <f t="shared" ref="N11:N32" si="5">+K11</f>
        <v>0</v>
      </c>
      <c r="O11" s="72">
        <f>'Service Counts'!P10</f>
        <v>13.65</v>
      </c>
      <c r="P11" s="56">
        <f t="shared" ref="P11:P32" si="6">+N11*O11</f>
        <v>0</v>
      </c>
      <c r="Q11" s="178">
        <f t="shared" ref="Q11:Q32" si="7">+P11-M11</f>
        <v>0</v>
      </c>
      <c r="S11" s="244">
        <f>'Service Counts'!U10</f>
        <v>0</v>
      </c>
      <c r="T11" s="72">
        <f>'Service Counts'!V10</f>
        <v>13.65</v>
      </c>
      <c r="U11" s="56">
        <f t="shared" ref="U11:U32" si="8">+S11*T11</f>
        <v>0</v>
      </c>
      <c r="V11" s="244">
        <f t="shared" ref="V11:V32" si="9">+S11</f>
        <v>0</v>
      </c>
      <c r="W11" s="72">
        <f>'Service Counts'!Y10</f>
        <v>13.65</v>
      </c>
      <c r="X11" s="56">
        <f t="shared" ref="X11:X32" si="10">+V11*W11</f>
        <v>0</v>
      </c>
      <c r="Y11" s="178">
        <f t="shared" ref="Y11:Y32" si="11">+X11-U11</f>
        <v>0</v>
      </c>
      <c r="Z11" s="56"/>
      <c r="AA11" s="56">
        <f t="shared" ref="AA11:AA32" si="12">+I11+Q11+Y11</f>
        <v>0</v>
      </c>
    </row>
    <row r="12" spans="1:27">
      <c r="A12" t="s">
        <v>445</v>
      </c>
      <c r="C12" s="122">
        <f>'Service Counts'!C11</f>
        <v>31</v>
      </c>
      <c r="D12" s="72">
        <f>'Service Counts'!D11</f>
        <v>9.5</v>
      </c>
      <c r="E12" s="56">
        <f t="shared" si="0"/>
        <v>294.5</v>
      </c>
      <c r="F12" s="122">
        <f t="shared" si="1"/>
        <v>31</v>
      </c>
      <c r="G12" s="72">
        <f>'Service Counts'!G11</f>
        <v>9.5</v>
      </c>
      <c r="H12" s="56">
        <f t="shared" si="2"/>
        <v>294.5</v>
      </c>
      <c r="I12" s="185">
        <f t="shared" si="3"/>
        <v>0</v>
      </c>
      <c r="K12" s="244">
        <f>'Service Counts'!L11</f>
        <v>0</v>
      </c>
      <c r="L12" s="72">
        <f>'Service Counts'!M11</f>
        <v>8.75</v>
      </c>
      <c r="M12" s="56">
        <f t="shared" si="4"/>
        <v>0</v>
      </c>
      <c r="N12" s="244">
        <f t="shared" si="5"/>
        <v>0</v>
      </c>
      <c r="O12" s="72">
        <f>'Service Counts'!P11</f>
        <v>8.75</v>
      </c>
      <c r="P12" s="56">
        <f t="shared" si="6"/>
        <v>0</v>
      </c>
      <c r="Q12" s="185">
        <f t="shared" si="7"/>
        <v>0</v>
      </c>
      <c r="S12" s="244">
        <f>'Service Counts'!U11</f>
        <v>0</v>
      </c>
      <c r="T12" s="72">
        <f>'Service Counts'!V11</f>
        <v>8.75</v>
      </c>
      <c r="U12" s="56">
        <f t="shared" si="8"/>
        <v>0</v>
      </c>
      <c r="V12" s="244">
        <f t="shared" si="9"/>
        <v>0</v>
      </c>
      <c r="W12" s="72">
        <f>'Service Counts'!Y11</f>
        <v>8.75</v>
      </c>
      <c r="X12" s="56">
        <f t="shared" si="10"/>
        <v>0</v>
      </c>
      <c r="Y12" s="185">
        <f t="shared" si="11"/>
        <v>0</v>
      </c>
      <c r="Z12" s="56"/>
      <c r="AA12" s="6">
        <f t="shared" si="12"/>
        <v>0</v>
      </c>
    </row>
    <row r="13" spans="1:27">
      <c r="A13" t="s">
        <v>444</v>
      </c>
      <c r="C13" s="122">
        <f>'Service Counts'!C12</f>
        <v>6</v>
      </c>
      <c r="D13" s="72">
        <f>'Service Counts'!D12</f>
        <v>13.85</v>
      </c>
      <c r="E13" s="6">
        <f t="shared" si="0"/>
        <v>83.1</v>
      </c>
      <c r="F13" s="122">
        <f t="shared" si="1"/>
        <v>6</v>
      </c>
      <c r="G13" s="72">
        <f>'Service Counts'!G12</f>
        <v>13.85</v>
      </c>
      <c r="H13" s="6">
        <f t="shared" si="2"/>
        <v>83.1</v>
      </c>
      <c r="I13" s="185">
        <f t="shared" si="3"/>
        <v>0</v>
      </c>
      <c r="K13" s="244">
        <f>'Service Counts'!L12</f>
        <v>0</v>
      </c>
      <c r="L13" s="72">
        <f>'Service Counts'!M12</f>
        <v>12.6</v>
      </c>
      <c r="M13" s="6">
        <f t="shared" si="4"/>
        <v>0</v>
      </c>
      <c r="N13" s="244">
        <f t="shared" si="5"/>
        <v>0</v>
      </c>
      <c r="O13" s="72">
        <f>'Service Counts'!P12</f>
        <v>12.6</v>
      </c>
      <c r="P13" s="6">
        <f t="shared" si="6"/>
        <v>0</v>
      </c>
      <c r="Q13" s="185">
        <f t="shared" si="7"/>
        <v>0</v>
      </c>
      <c r="S13" s="244">
        <f>'Service Counts'!U12</f>
        <v>0</v>
      </c>
      <c r="T13" s="72">
        <f>'Service Counts'!V12</f>
        <v>12.6</v>
      </c>
      <c r="U13" s="6">
        <f t="shared" si="8"/>
        <v>0</v>
      </c>
      <c r="V13" s="244">
        <f t="shared" si="9"/>
        <v>0</v>
      </c>
      <c r="W13" s="72">
        <f>'Service Counts'!Y12</f>
        <v>12.6</v>
      </c>
      <c r="X13" s="6">
        <f t="shared" si="10"/>
        <v>0</v>
      </c>
      <c r="Y13" s="185">
        <f t="shared" si="11"/>
        <v>0</v>
      </c>
      <c r="Z13" s="6"/>
      <c r="AA13" s="6">
        <f t="shared" si="12"/>
        <v>0</v>
      </c>
    </row>
    <row r="14" spans="1:27">
      <c r="A14" t="s">
        <v>443</v>
      </c>
      <c r="C14" s="122">
        <f>'Service Counts'!C13</f>
        <v>2</v>
      </c>
      <c r="D14" s="72">
        <f>'Service Counts'!D13</f>
        <v>18.2</v>
      </c>
      <c r="E14" s="6">
        <f t="shared" si="0"/>
        <v>36.4</v>
      </c>
      <c r="F14" s="122">
        <f t="shared" si="1"/>
        <v>2</v>
      </c>
      <c r="G14" s="72">
        <f>'Service Counts'!G13</f>
        <v>18.2</v>
      </c>
      <c r="H14" s="6">
        <f t="shared" si="2"/>
        <v>36.4</v>
      </c>
      <c r="I14" s="185">
        <f t="shared" si="3"/>
        <v>0</v>
      </c>
      <c r="K14" s="244">
        <f>'Service Counts'!L13</f>
        <v>0</v>
      </c>
      <c r="L14" s="72">
        <f>'Service Counts'!M13</f>
        <v>16.45</v>
      </c>
      <c r="M14" s="6">
        <f t="shared" si="4"/>
        <v>0</v>
      </c>
      <c r="N14" s="244">
        <f t="shared" si="5"/>
        <v>0</v>
      </c>
      <c r="O14" s="72">
        <f>'Service Counts'!P13</f>
        <v>16.45</v>
      </c>
      <c r="P14" s="6">
        <f t="shared" si="6"/>
        <v>0</v>
      </c>
      <c r="Q14" s="185">
        <f t="shared" si="7"/>
        <v>0</v>
      </c>
      <c r="S14" s="244">
        <f>'Service Counts'!U13</f>
        <v>0</v>
      </c>
      <c r="T14" s="72">
        <f>'Service Counts'!V13</f>
        <v>16.45</v>
      </c>
      <c r="U14" s="6">
        <f t="shared" si="8"/>
        <v>0</v>
      </c>
      <c r="V14" s="244">
        <f t="shared" si="9"/>
        <v>0</v>
      </c>
      <c r="W14" s="72">
        <f>'Service Counts'!Y13</f>
        <v>16.45</v>
      </c>
      <c r="X14" s="6">
        <f t="shared" si="10"/>
        <v>0</v>
      </c>
      <c r="Y14" s="185">
        <f t="shared" si="11"/>
        <v>0</v>
      </c>
      <c r="Z14" s="6"/>
      <c r="AA14" s="6">
        <f t="shared" si="12"/>
        <v>0</v>
      </c>
    </row>
    <row r="15" spans="1:27">
      <c r="A15" t="s">
        <v>442</v>
      </c>
      <c r="C15" s="122">
        <f>'Service Counts'!C14</f>
        <v>377.85</v>
      </c>
      <c r="D15" s="72">
        <f>'Service Counts'!D14</f>
        <v>19.850000000000001</v>
      </c>
      <c r="E15" s="6">
        <f t="shared" si="0"/>
        <v>7500.3225000000011</v>
      </c>
      <c r="F15" s="122">
        <f t="shared" si="1"/>
        <v>377.85</v>
      </c>
      <c r="G15" s="72">
        <f>'Service Counts'!G14</f>
        <v>19.850000000000001</v>
      </c>
      <c r="H15" s="6">
        <f t="shared" si="2"/>
        <v>7500.3225000000011</v>
      </c>
      <c r="I15" s="185">
        <f t="shared" si="3"/>
        <v>0</v>
      </c>
      <c r="K15" s="244">
        <f>'Service Counts'!L14</f>
        <v>592.65</v>
      </c>
      <c r="L15" s="72">
        <f>'Service Counts'!M14</f>
        <v>16.350000000000001</v>
      </c>
      <c r="M15" s="6">
        <f t="shared" si="4"/>
        <v>9689.8275000000012</v>
      </c>
      <c r="N15" s="244">
        <f t="shared" si="5"/>
        <v>592.65</v>
      </c>
      <c r="O15" s="72">
        <f>'Service Counts'!P14</f>
        <v>16.350000000000001</v>
      </c>
      <c r="P15" s="6">
        <f t="shared" si="6"/>
        <v>9689.8275000000012</v>
      </c>
      <c r="Q15" s="185">
        <f t="shared" si="7"/>
        <v>0</v>
      </c>
      <c r="S15" s="244">
        <f>'Service Counts'!U14</f>
        <v>560.38036951501158</v>
      </c>
      <c r="T15" s="72">
        <f>'Service Counts'!V14</f>
        <v>16.350000000000001</v>
      </c>
      <c r="U15" s="6">
        <f t="shared" si="8"/>
        <v>9162.2190415704408</v>
      </c>
      <c r="V15" s="244">
        <f t="shared" si="9"/>
        <v>560.38036951501158</v>
      </c>
      <c r="W15" s="72">
        <f>'Service Counts'!Y14</f>
        <v>16.350000000000001</v>
      </c>
      <c r="X15" s="6">
        <f t="shared" si="10"/>
        <v>9162.2190415704408</v>
      </c>
      <c r="Y15" s="185">
        <f t="shared" si="11"/>
        <v>0</v>
      </c>
      <c r="Z15" s="6"/>
      <c r="AA15" s="6">
        <f t="shared" si="12"/>
        <v>0</v>
      </c>
    </row>
    <row r="16" spans="1:27">
      <c r="A16" t="s">
        <v>441</v>
      </c>
      <c r="C16" s="122">
        <f>'Service Counts'!C15</f>
        <v>235.55</v>
      </c>
      <c r="D16" s="72">
        <f>'Service Counts'!D15</f>
        <v>24.4</v>
      </c>
      <c r="E16" s="6">
        <f t="shared" si="0"/>
        <v>5747.42</v>
      </c>
      <c r="F16" s="122">
        <f t="shared" si="1"/>
        <v>235.55</v>
      </c>
      <c r="G16" s="72">
        <f>'Service Counts'!G15</f>
        <v>24.4</v>
      </c>
      <c r="H16" s="6">
        <f t="shared" si="2"/>
        <v>5747.42</v>
      </c>
      <c r="I16" s="185">
        <f t="shared" si="3"/>
        <v>0</v>
      </c>
      <c r="K16" s="244">
        <f>'Service Counts'!L15</f>
        <v>999.2</v>
      </c>
      <c r="L16" s="72">
        <f>'Service Counts'!M15</f>
        <v>20.55</v>
      </c>
      <c r="M16" s="6">
        <f t="shared" si="4"/>
        <v>20533.560000000001</v>
      </c>
      <c r="N16" s="244">
        <f t="shared" si="5"/>
        <v>999.2</v>
      </c>
      <c r="O16" s="72">
        <f>'Service Counts'!P15</f>
        <v>20.55</v>
      </c>
      <c r="P16" s="6">
        <f t="shared" si="6"/>
        <v>20533.560000000001</v>
      </c>
      <c r="Q16" s="185">
        <f t="shared" si="7"/>
        <v>0</v>
      </c>
      <c r="S16" s="244">
        <f>'Service Counts'!U15</f>
        <v>913.38036951501158</v>
      </c>
      <c r="T16" s="72">
        <f>'Service Counts'!V15</f>
        <v>20.55</v>
      </c>
      <c r="U16" s="6">
        <f t="shared" si="8"/>
        <v>18769.966593533489</v>
      </c>
      <c r="V16" s="244">
        <f t="shared" si="9"/>
        <v>913.38036951501158</v>
      </c>
      <c r="W16" s="72">
        <f>'Service Counts'!Y15</f>
        <v>20.55</v>
      </c>
      <c r="X16" s="6">
        <f t="shared" si="10"/>
        <v>18769.966593533489</v>
      </c>
      <c r="Y16" s="185">
        <f t="shared" si="11"/>
        <v>0</v>
      </c>
      <c r="Z16" s="6"/>
      <c r="AA16" s="6">
        <f t="shared" si="12"/>
        <v>0</v>
      </c>
    </row>
    <row r="17" spans="1:28">
      <c r="A17" t="s">
        <v>440</v>
      </c>
      <c r="C17" s="122">
        <f>'Service Counts'!C16</f>
        <v>21.25</v>
      </c>
      <c r="D17" s="72">
        <f>'Service Counts'!D16</f>
        <v>30.6</v>
      </c>
      <c r="E17" s="6">
        <f t="shared" si="0"/>
        <v>650.25</v>
      </c>
      <c r="F17" s="122">
        <f t="shared" si="1"/>
        <v>21.25</v>
      </c>
      <c r="G17" s="72">
        <f>'Service Counts'!G16</f>
        <v>30.6</v>
      </c>
      <c r="H17" s="6">
        <f t="shared" si="2"/>
        <v>650.25</v>
      </c>
      <c r="I17" s="185">
        <f t="shared" si="3"/>
        <v>0</v>
      </c>
      <c r="K17" s="244">
        <f>'Service Counts'!L16</f>
        <v>285.2</v>
      </c>
      <c r="L17" s="72">
        <f>'Service Counts'!M16</f>
        <v>24.25</v>
      </c>
      <c r="M17" s="6">
        <f t="shared" si="4"/>
        <v>6916.0999999999995</v>
      </c>
      <c r="N17" s="244">
        <f t="shared" si="5"/>
        <v>285.2</v>
      </c>
      <c r="O17" s="72">
        <f>'Service Counts'!P16</f>
        <v>24.25</v>
      </c>
      <c r="P17" s="6">
        <f t="shared" si="6"/>
        <v>6916.0999999999995</v>
      </c>
      <c r="Q17" s="185">
        <f t="shared" si="7"/>
        <v>0</v>
      </c>
      <c r="S17" s="244">
        <f>'Service Counts'!U16</f>
        <v>129.25461893764435</v>
      </c>
      <c r="T17" s="72">
        <f>'Service Counts'!V16</f>
        <v>24.25</v>
      </c>
      <c r="U17" s="6">
        <f t="shared" si="8"/>
        <v>3134.4245092378756</v>
      </c>
      <c r="V17" s="244">
        <f t="shared" si="9"/>
        <v>129.25461893764435</v>
      </c>
      <c r="W17" s="72">
        <f>'Service Counts'!Y16</f>
        <v>24.25</v>
      </c>
      <c r="X17" s="6">
        <f t="shared" si="10"/>
        <v>3134.4245092378756</v>
      </c>
      <c r="Y17" s="185">
        <f t="shared" si="11"/>
        <v>0</v>
      </c>
      <c r="Z17" s="6"/>
      <c r="AA17" s="6">
        <f t="shared" si="12"/>
        <v>0</v>
      </c>
    </row>
    <row r="18" spans="1:28">
      <c r="A18" t="s">
        <v>439</v>
      </c>
      <c r="C18" s="122">
        <f>'Service Counts'!C17</f>
        <v>6</v>
      </c>
      <c r="D18" s="72">
        <f>'Service Counts'!D17</f>
        <v>37.25</v>
      </c>
      <c r="E18" s="6">
        <f t="shared" si="0"/>
        <v>223.5</v>
      </c>
      <c r="F18" s="122">
        <f t="shared" si="1"/>
        <v>6</v>
      </c>
      <c r="G18" s="72">
        <f>'Service Counts'!G17</f>
        <v>37.25</v>
      </c>
      <c r="H18" s="6">
        <f t="shared" si="2"/>
        <v>223.5</v>
      </c>
      <c r="I18" s="185">
        <f t="shared" si="3"/>
        <v>0</v>
      </c>
      <c r="K18" s="244">
        <f>'Service Counts'!L17</f>
        <v>116.1</v>
      </c>
      <c r="L18" s="72">
        <f>'Service Counts'!M17</f>
        <v>27.75</v>
      </c>
      <c r="M18" s="6">
        <f t="shared" si="4"/>
        <v>3221.7749999999996</v>
      </c>
      <c r="N18" s="244">
        <f t="shared" si="5"/>
        <v>116.1</v>
      </c>
      <c r="O18" s="72">
        <f>'Service Counts'!P17</f>
        <v>27.75</v>
      </c>
      <c r="P18" s="6">
        <f t="shared" si="6"/>
        <v>3221.7749999999996</v>
      </c>
      <c r="Q18" s="185">
        <f t="shared" si="7"/>
        <v>0</v>
      </c>
      <c r="S18" s="244">
        <f>'Service Counts'!U17</f>
        <v>58.009237875288683</v>
      </c>
      <c r="T18" s="72">
        <f>'Service Counts'!V17</f>
        <v>27.75</v>
      </c>
      <c r="U18" s="6">
        <f t="shared" si="8"/>
        <v>1609.7563510392611</v>
      </c>
      <c r="V18" s="244">
        <f t="shared" si="9"/>
        <v>58.009237875288683</v>
      </c>
      <c r="W18" s="72">
        <f>'Service Counts'!Y17</f>
        <v>27.75</v>
      </c>
      <c r="X18" s="6">
        <f t="shared" si="10"/>
        <v>1609.7563510392611</v>
      </c>
      <c r="Y18" s="185">
        <f t="shared" si="11"/>
        <v>0</v>
      </c>
      <c r="Z18" s="6"/>
      <c r="AA18" s="6">
        <f t="shared" si="12"/>
        <v>0</v>
      </c>
    </row>
    <row r="19" spans="1:28">
      <c r="A19" t="s">
        <v>438</v>
      </c>
      <c r="C19" s="122">
        <f>'Service Counts'!C18</f>
        <v>0</v>
      </c>
      <c r="D19" s="72">
        <f>'Service Counts'!D18</f>
        <v>42.45</v>
      </c>
      <c r="E19" s="6">
        <f t="shared" si="0"/>
        <v>0</v>
      </c>
      <c r="F19" s="122">
        <f t="shared" si="1"/>
        <v>0</v>
      </c>
      <c r="G19" s="72">
        <f>'Service Counts'!G18</f>
        <v>42.45</v>
      </c>
      <c r="H19" s="6">
        <f t="shared" si="2"/>
        <v>0</v>
      </c>
      <c r="I19" s="185">
        <f t="shared" si="3"/>
        <v>0</v>
      </c>
      <c r="K19" s="244">
        <f>'Service Counts'!L18</f>
        <v>32.75</v>
      </c>
      <c r="L19" s="72">
        <f>'Service Counts'!M18</f>
        <v>33.25</v>
      </c>
      <c r="M19" s="6">
        <f t="shared" si="4"/>
        <v>1088.9375</v>
      </c>
      <c r="N19" s="244">
        <f t="shared" si="5"/>
        <v>32.75</v>
      </c>
      <c r="O19" s="72">
        <f>'Service Counts'!P18</f>
        <v>33.25</v>
      </c>
      <c r="P19" s="6">
        <f t="shared" si="6"/>
        <v>1088.9375</v>
      </c>
      <c r="Q19" s="185">
        <f t="shared" si="7"/>
        <v>0</v>
      </c>
      <c r="S19" s="244">
        <f>'Service Counts'!U18</f>
        <v>12.009237875288683</v>
      </c>
      <c r="T19" s="72">
        <f>'Service Counts'!V18</f>
        <v>33.25</v>
      </c>
      <c r="U19" s="6">
        <f t="shared" si="8"/>
        <v>399.30715935334871</v>
      </c>
      <c r="V19" s="244">
        <f t="shared" si="9"/>
        <v>12.009237875288683</v>
      </c>
      <c r="W19" s="72">
        <f>'Service Counts'!Y18</f>
        <v>33.25</v>
      </c>
      <c r="X19" s="6">
        <f t="shared" si="10"/>
        <v>399.30715935334871</v>
      </c>
      <c r="Y19" s="185">
        <f t="shared" si="11"/>
        <v>0</v>
      </c>
      <c r="Z19" s="6"/>
      <c r="AA19" s="6">
        <f t="shared" si="12"/>
        <v>0</v>
      </c>
    </row>
    <row r="20" spans="1:28">
      <c r="A20" t="s">
        <v>437</v>
      </c>
      <c r="C20" s="122">
        <f>'Service Counts'!C19</f>
        <v>13.2</v>
      </c>
      <c r="D20" s="72">
        <f>'Service Counts'!D19</f>
        <v>49</v>
      </c>
      <c r="E20" s="6">
        <f t="shared" si="0"/>
        <v>646.79999999999995</v>
      </c>
      <c r="F20" s="122">
        <f t="shared" si="1"/>
        <v>13.2</v>
      </c>
      <c r="G20" s="72">
        <f>'Service Counts'!G19</f>
        <v>49</v>
      </c>
      <c r="H20" s="6">
        <f t="shared" si="2"/>
        <v>646.79999999999995</v>
      </c>
      <c r="I20" s="185">
        <f t="shared" si="3"/>
        <v>0</v>
      </c>
      <c r="K20" s="244">
        <f>'Service Counts'!L19</f>
        <v>44.25</v>
      </c>
      <c r="L20" s="72">
        <f>'Service Counts'!M19</f>
        <v>36.85</v>
      </c>
      <c r="M20" s="6">
        <f t="shared" si="4"/>
        <v>1630.6125</v>
      </c>
      <c r="N20" s="244">
        <f t="shared" si="5"/>
        <v>44.25</v>
      </c>
      <c r="O20" s="72">
        <f>'Service Counts'!P19</f>
        <v>36.85</v>
      </c>
      <c r="P20" s="6">
        <f t="shared" si="6"/>
        <v>1630.6125</v>
      </c>
      <c r="Q20" s="185">
        <f t="shared" si="7"/>
        <v>0</v>
      </c>
      <c r="S20" s="244">
        <f>'Service Counts'!U19</f>
        <v>0</v>
      </c>
      <c r="T20" s="72">
        <f>'Service Counts'!V19</f>
        <v>36.85</v>
      </c>
      <c r="U20" s="6">
        <f t="shared" si="8"/>
        <v>0</v>
      </c>
      <c r="V20" s="244">
        <f t="shared" si="9"/>
        <v>0</v>
      </c>
      <c r="W20" s="72">
        <f>'Service Counts'!Y19</f>
        <v>36.85</v>
      </c>
      <c r="X20" s="6">
        <f t="shared" si="10"/>
        <v>0</v>
      </c>
      <c r="Y20" s="185">
        <f t="shared" si="11"/>
        <v>0</v>
      </c>
      <c r="Z20" s="6"/>
      <c r="AA20" s="6">
        <f t="shared" si="12"/>
        <v>0</v>
      </c>
    </row>
    <row r="21" spans="1:28">
      <c r="A21" s="83" t="s">
        <v>1306</v>
      </c>
      <c r="C21" s="122">
        <f>'Service Counts'!C20</f>
        <v>55.2</v>
      </c>
      <c r="D21" s="72">
        <f>'Service Counts'!D20</f>
        <v>13.15</v>
      </c>
      <c r="E21" s="6">
        <f t="shared" ref="E21:E22" si="13">+C21*D21</f>
        <v>725.88000000000011</v>
      </c>
      <c r="F21" s="122">
        <f t="shared" ref="F21:F22" si="14">+C21</f>
        <v>55.2</v>
      </c>
      <c r="G21" s="72">
        <f>'Service Counts'!G20</f>
        <v>13.15</v>
      </c>
      <c r="H21" s="6">
        <f t="shared" ref="H21:H22" si="15">+F21*G21</f>
        <v>725.88000000000011</v>
      </c>
      <c r="I21" s="185">
        <f t="shared" ref="I21:I22" si="16">+H21-E21</f>
        <v>0</v>
      </c>
      <c r="K21" s="244">
        <f>'Service Counts'!L20</f>
        <v>0</v>
      </c>
      <c r="L21" s="72">
        <f>'Service Counts'!M20</f>
        <v>0</v>
      </c>
      <c r="M21" s="6">
        <f t="shared" ref="M21:M22" si="17">+K21*L21</f>
        <v>0</v>
      </c>
      <c r="N21" s="244">
        <f t="shared" ref="N21:N22" si="18">+K21</f>
        <v>0</v>
      </c>
      <c r="O21" s="72">
        <f>'Service Counts'!P20</f>
        <v>0</v>
      </c>
      <c r="P21" s="6">
        <f t="shared" ref="P21:P22" si="19">+N21*O21</f>
        <v>0</v>
      </c>
      <c r="Q21" s="185">
        <f t="shared" ref="Q21:Q22" si="20">+P21-M21</f>
        <v>0</v>
      </c>
      <c r="S21" s="244">
        <f>'Service Counts'!U20</f>
        <v>0</v>
      </c>
      <c r="T21" s="72">
        <f>'Service Counts'!V20</f>
        <v>0</v>
      </c>
      <c r="U21" s="6">
        <f t="shared" ref="U21:U22" si="21">+S21*T21</f>
        <v>0</v>
      </c>
      <c r="V21" s="244">
        <f t="shared" ref="V21:V22" si="22">+S21</f>
        <v>0</v>
      </c>
      <c r="W21" s="72">
        <f>'Service Counts'!Y20</f>
        <v>0</v>
      </c>
      <c r="X21" s="6">
        <f t="shared" ref="X21:X22" si="23">+V21*W21</f>
        <v>0</v>
      </c>
      <c r="Y21" s="185">
        <f t="shared" ref="Y21:Y22" si="24">+X21-U21</f>
        <v>0</v>
      </c>
      <c r="Z21" s="6"/>
      <c r="AA21" s="6">
        <f t="shared" ref="AA21:AA22" si="25">+I21+Q21+Y21</f>
        <v>0</v>
      </c>
    </row>
    <row r="22" spans="1:28">
      <c r="A22" s="83" t="s">
        <v>435</v>
      </c>
      <c r="C22" s="122">
        <f>'Service Counts'!C21</f>
        <v>6351.45</v>
      </c>
      <c r="D22" s="72">
        <f>'Service Counts'!D21</f>
        <v>19.850000000000001</v>
      </c>
      <c r="E22" s="6">
        <f t="shared" si="13"/>
        <v>126076.2825</v>
      </c>
      <c r="F22" s="122">
        <f t="shared" si="14"/>
        <v>6351.45</v>
      </c>
      <c r="G22" s="72">
        <f>'Service Counts'!G21</f>
        <v>19.850000000000001</v>
      </c>
      <c r="H22" s="6">
        <f t="shared" si="15"/>
        <v>126076.2825</v>
      </c>
      <c r="I22" s="185">
        <f t="shared" si="16"/>
        <v>0</v>
      </c>
      <c r="K22" s="244">
        <f>'Service Counts'!L21</f>
        <v>0</v>
      </c>
      <c r="L22" s="72">
        <f>'Service Counts'!M21</f>
        <v>0</v>
      </c>
      <c r="M22" s="6">
        <f t="shared" si="17"/>
        <v>0</v>
      </c>
      <c r="N22" s="244">
        <f t="shared" si="18"/>
        <v>0</v>
      </c>
      <c r="O22" s="72">
        <f>'Service Counts'!P21</f>
        <v>0</v>
      </c>
      <c r="P22" s="6">
        <f t="shared" si="19"/>
        <v>0</v>
      </c>
      <c r="Q22" s="185">
        <f t="shared" si="20"/>
        <v>0</v>
      </c>
      <c r="S22" s="244">
        <f>'Service Counts'!U21</f>
        <v>0</v>
      </c>
      <c r="T22" s="72">
        <f>'Service Counts'!V21</f>
        <v>0</v>
      </c>
      <c r="U22" s="6">
        <f t="shared" si="21"/>
        <v>0</v>
      </c>
      <c r="V22" s="244">
        <f t="shared" si="22"/>
        <v>0</v>
      </c>
      <c r="W22" s="72">
        <f>'Service Counts'!Y21</f>
        <v>0</v>
      </c>
      <c r="X22" s="6">
        <f t="shared" si="23"/>
        <v>0</v>
      </c>
      <c r="Y22" s="185">
        <f t="shared" si="24"/>
        <v>0</v>
      </c>
      <c r="Z22" s="6"/>
      <c r="AA22" s="6">
        <f t="shared" si="25"/>
        <v>0</v>
      </c>
    </row>
    <row r="23" spans="1:28">
      <c r="A23" t="s">
        <v>600</v>
      </c>
      <c r="C23" s="122">
        <f>'Service Counts'!C22</f>
        <v>33</v>
      </c>
      <c r="D23" s="72">
        <f>'Service Counts'!D22</f>
        <v>14.25</v>
      </c>
      <c r="E23" s="6">
        <f t="shared" si="0"/>
        <v>470.25</v>
      </c>
      <c r="F23" s="122">
        <f t="shared" si="1"/>
        <v>33</v>
      </c>
      <c r="G23" s="72">
        <f>'Service Counts'!G22</f>
        <v>14.25</v>
      </c>
      <c r="H23" s="6">
        <f t="shared" si="2"/>
        <v>470.25</v>
      </c>
      <c r="I23" s="185">
        <f t="shared" si="3"/>
        <v>0</v>
      </c>
      <c r="K23" s="244">
        <f>'Service Counts'!L22</f>
        <v>0</v>
      </c>
      <c r="L23" s="72">
        <f>'Service Counts'!M22</f>
        <v>0</v>
      </c>
      <c r="M23" s="6">
        <f t="shared" si="4"/>
        <v>0</v>
      </c>
      <c r="N23" s="244">
        <f t="shared" si="5"/>
        <v>0</v>
      </c>
      <c r="O23" s="72">
        <f>'Service Counts'!P22</f>
        <v>0</v>
      </c>
      <c r="P23" s="6">
        <f t="shared" si="6"/>
        <v>0</v>
      </c>
      <c r="Q23" s="185">
        <f t="shared" si="7"/>
        <v>0</v>
      </c>
      <c r="S23" s="244">
        <f>'Service Counts'!U22</f>
        <v>0</v>
      </c>
      <c r="T23" s="72">
        <f>'Service Counts'!V22</f>
        <v>0</v>
      </c>
      <c r="U23" s="6">
        <f t="shared" si="8"/>
        <v>0</v>
      </c>
      <c r="V23" s="244">
        <f t="shared" si="9"/>
        <v>0</v>
      </c>
      <c r="W23" s="72">
        <f>'Service Counts'!Y22</f>
        <v>0</v>
      </c>
      <c r="X23" s="6">
        <f t="shared" si="10"/>
        <v>0</v>
      </c>
      <c r="Y23" s="185">
        <f t="shared" si="11"/>
        <v>0</v>
      </c>
      <c r="Z23" s="6"/>
      <c r="AA23" s="6">
        <f t="shared" si="12"/>
        <v>0</v>
      </c>
    </row>
    <row r="24" spans="1:28">
      <c r="A24" t="s">
        <v>433</v>
      </c>
      <c r="C24" s="122">
        <f>'Service Counts'!C23</f>
        <v>10987.949999999999</v>
      </c>
      <c r="D24" s="72">
        <f>'Service Counts'!D23</f>
        <v>24.4</v>
      </c>
      <c r="E24" s="6">
        <f t="shared" si="0"/>
        <v>268105.98</v>
      </c>
      <c r="F24" s="122">
        <f t="shared" si="1"/>
        <v>10987.949999999999</v>
      </c>
      <c r="G24" s="72">
        <f>'Service Counts'!G23</f>
        <v>24.4</v>
      </c>
      <c r="H24" s="6">
        <f t="shared" si="2"/>
        <v>268105.98</v>
      </c>
      <c r="I24" s="185">
        <f t="shared" si="3"/>
        <v>0</v>
      </c>
      <c r="K24" s="244">
        <f>'Service Counts'!L23</f>
        <v>0</v>
      </c>
      <c r="L24" s="72">
        <f>'Service Counts'!M23</f>
        <v>0</v>
      </c>
      <c r="M24" s="6">
        <f t="shared" si="4"/>
        <v>0</v>
      </c>
      <c r="N24" s="244">
        <f t="shared" si="5"/>
        <v>0</v>
      </c>
      <c r="O24" s="72">
        <f>'Service Counts'!P23</f>
        <v>0</v>
      </c>
      <c r="P24" s="6">
        <f t="shared" si="6"/>
        <v>0</v>
      </c>
      <c r="Q24" s="185">
        <f t="shared" si="7"/>
        <v>0</v>
      </c>
      <c r="S24" s="244">
        <f>'Service Counts'!U23</f>
        <v>0</v>
      </c>
      <c r="T24" s="72">
        <f>'Service Counts'!V23</f>
        <v>0</v>
      </c>
      <c r="U24" s="6">
        <f t="shared" si="8"/>
        <v>0</v>
      </c>
      <c r="V24" s="244">
        <f t="shared" si="9"/>
        <v>0</v>
      </c>
      <c r="W24" s="72">
        <f>'Service Counts'!Y23</f>
        <v>0</v>
      </c>
      <c r="X24" s="6">
        <f t="shared" si="10"/>
        <v>0</v>
      </c>
      <c r="Y24" s="185">
        <f t="shared" si="11"/>
        <v>0</v>
      </c>
      <c r="Z24" s="6"/>
      <c r="AA24" s="6">
        <f t="shared" si="12"/>
        <v>0</v>
      </c>
    </row>
    <row r="25" spans="1:28">
      <c r="A25" t="s">
        <v>432</v>
      </c>
      <c r="C25" s="122">
        <f>'Service Counts'!C24</f>
        <v>11644.5</v>
      </c>
      <c r="D25" s="72">
        <f>'Service Counts'!D24</f>
        <v>30.6</v>
      </c>
      <c r="E25" s="6">
        <f t="shared" si="0"/>
        <v>356321.7</v>
      </c>
      <c r="F25" s="122">
        <f t="shared" si="1"/>
        <v>11644.5</v>
      </c>
      <c r="G25" s="72">
        <f>'Service Counts'!G24</f>
        <v>30.6</v>
      </c>
      <c r="H25" s="6">
        <f t="shared" si="2"/>
        <v>356321.7</v>
      </c>
      <c r="I25" s="185">
        <f t="shared" si="3"/>
        <v>0</v>
      </c>
      <c r="K25" s="244">
        <f>'Service Counts'!L24</f>
        <v>0</v>
      </c>
      <c r="L25" s="72">
        <f>'Service Counts'!M24</f>
        <v>0</v>
      </c>
      <c r="M25" s="6">
        <f t="shared" si="4"/>
        <v>0</v>
      </c>
      <c r="N25" s="244">
        <f t="shared" si="5"/>
        <v>0</v>
      </c>
      <c r="O25" s="72">
        <f>'Service Counts'!P24</f>
        <v>0</v>
      </c>
      <c r="P25" s="6">
        <f t="shared" si="6"/>
        <v>0</v>
      </c>
      <c r="Q25" s="185">
        <f t="shared" si="7"/>
        <v>0</v>
      </c>
      <c r="S25" s="244">
        <f>'Service Counts'!U24</f>
        <v>0</v>
      </c>
      <c r="T25" s="72">
        <f>'Service Counts'!V24</f>
        <v>0</v>
      </c>
      <c r="U25" s="6">
        <f t="shared" si="8"/>
        <v>0</v>
      </c>
      <c r="V25" s="244">
        <f t="shared" si="9"/>
        <v>0</v>
      </c>
      <c r="W25" s="72">
        <f>'Service Counts'!Y24</f>
        <v>0</v>
      </c>
      <c r="X25" s="6">
        <f t="shared" si="10"/>
        <v>0</v>
      </c>
      <c r="Y25" s="185">
        <f t="shared" si="11"/>
        <v>0</v>
      </c>
      <c r="Z25" s="6"/>
      <c r="AA25" s="6">
        <f t="shared" si="12"/>
        <v>0</v>
      </c>
    </row>
    <row r="26" spans="1:28">
      <c r="A26" s="83" t="s">
        <v>1307</v>
      </c>
      <c r="C26" s="122">
        <f>'Service Counts'!C25</f>
        <v>475</v>
      </c>
      <c r="D26" s="72">
        <f>'Service Counts'!D25</f>
        <v>15</v>
      </c>
      <c r="E26" s="6">
        <f t="shared" ref="E26" si="26">+C26*D26</f>
        <v>7125</v>
      </c>
      <c r="F26" s="122">
        <f t="shared" ref="F26" si="27">+C26</f>
        <v>475</v>
      </c>
      <c r="G26" s="72">
        <f>'Service Counts'!G25</f>
        <v>15</v>
      </c>
      <c r="H26" s="6">
        <f t="shared" ref="H26" si="28">+F26*G26</f>
        <v>7125</v>
      </c>
      <c r="I26" s="185">
        <f t="shared" ref="I26" si="29">+H26-E26</f>
        <v>0</v>
      </c>
      <c r="K26" s="244">
        <f>'Service Counts'!L25</f>
        <v>0</v>
      </c>
      <c r="L26" s="72">
        <f>'Service Counts'!M25</f>
        <v>0</v>
      </c>
      <c r="M26" s="6">
        <f t="shared" ref="M26" si="30">+K26*L26</f>
        <v>0</v>
      </c>
      <c r="N26" s="244">
        <f t="shared" ref="N26" si="31">+K26</f>
        <v>0</v>
      </c>
      <c r="O26" s="72">
        <f>'Service Counts'!P25</f>
        <v>0</v>
      </c>
      <c r="P26" s="6">
        <f t="shared" ref="P26" si="32">+N26*O26</f>
        <v>0</v>
      </c>
      <c r="Q26" s="185">
        <f t="shared" ref="Q26" si="33">+P26-M26</f>
        <v>0</v>
      </c>
      <c r="S26" s="244">
        <f>'Service Counts'!U25</f>
        <v>0</v>
      </c>
      <c r="T26" s="72">
        <f>'Service Counts'!V25</f>
        <v>0</v>
      </c>
      <c r="U26" s="6">
        <f t="shared" ref="U26" si="34">+S26*T26</f>
        <v>0</v>
      </c>
      <c r="V26" s="244">
        <f t="shared" ref="V26" si="35">+S26</f>
        <v>0</v>
      </c>
      <c r="W26" s="72">
        <f>'Service Counts'!Y25</f>
        <v>0</v>
      </c>
      <c r="X26" s="6">
        <f t="shared" ref="X26" si="36">+V26*W26</f>
        <v>0</v>
      </c>
      <c r="Y26" s="185">
        <f t="shared" ref="Y26" si="37">+X26-U26</f>
        <v>0</v>
      </c>
      <c r="Z26" s="6"/>
      <c r="AA26" s="6">
        <f t="shared" ref="AA26" si="38">+I26+Q26+Y26</f>
        <v>0</v>
      </c>
    </row>
    <row r="27" spans="1:28">
      <c r="A27" t="s">
        <v>431</v>
      </c>
      <c r="C27" s="122">
        <f>'Service Counts'!C26</f>
        <v>1802</v>
      </c>
      <c r="D27" s="72">
        <f>'Service Counts'!D26</f>
        <v>4.3499999999999996</v>
      </c>
      <c r="E27" s="6">
        <f t="shared" si="0"/>
        <v>7838.6999999999989</v>
      </c>
      <c r="F27" s="122">
        <f t="shared" si="1"/>
        <v>1802</v>
      </c>
      <c r="G27" s="72">
        <f>'Service Counts'!G26</f>
        <v>4.3499999999999996</v>
      </c>
      <c r="H27" s="6">
        <f t="shared" si="2"/>
        <v>7838.6999999999989</v>
      </c>
      <c r="I27" s="185">
        <f t="shared" si="3"/>
        <v>0</v>
      </c>
      <c r="K27" s="244">
        <f>'Service Counts'!L26</f>
        <v>159</v>
      </c>
      <c r="L27" s="72">
        <f>'Service Counts'!M26</f>
        <v>3.95</v>
      </c>
      <c r="M27" s="6">
        <f t="shared" si="4"/>
        <v>628.05000000000007</v>
      </c>
      <c r="N27" s="244">
        <f t="shared" si="5"/>
        <v>159</v>
      </c>
      <c r="O27" s="72">
        <f>'Service Counts'!P26</f>
        <v>3.95</v>
      </c>
      <c r="P27" s="6">
        <f t="shared" si="6"/>
        <v>628.05000000000007</v>
      </c>
      <c r="Q27" s="185">
        <f t="shared" si="7"/>
        <v>0</v>
      </c>
      <c r="S27" s="244">
        <f>'Service Counts'!U26</f>
        <v>217</v>
      </c>
      <c r="T27" s="72">
        <f>'Service Counts'!V26</f>
        <v>3.95</v>
      </c>
      <c r="U27" s="6">
        <f t="shared" si="8"/>
        <v>857.15000000000009</v>
      </c>
      <c r="V27" s="244">
        <f t="shared" si="9"/>
        <v>217</v>
      </c>
      <c r="W27" s="72">
        <f>'Service Counts'!Y26</f>
        <v>3.95</v>
      </c>
      <c r="X27" s="6">
        <f t="shared" si="10"/>
        <v>857.15000000000009</v>
      </c>
      <c r="Y27" s="185">
        <f t="shared" si="11"/>
        <v>0</v>
      </c>
      <c r="Z27" s="6"/>
      <c r="AA27" s="6">
        <f t="shared" si="12"/>
        <v>0</v>
      </c>
    </row>
    <row r="28" spans="1:28">
      <c r="A28" t="s">
        <v>430</v>
      </c>
      <c r="C28" s="122">
        <f>'Service Counts'!C27</f>
        <v>0</v>
      </c>
      <c r="D28" s="72">
        <f>'Service Counts'!D27</f>
        <v>3.25</v>
      </c>
      <c r="E28" s="6">
        <f t="shared" si="0"/>
        <v>0</v>
      </c>
      <c r="F28" s="122">
        <f t="shared" si="1"/>
        <v>0</v>
      </c>
      <c r="G28" s="72">
        <f>'Service Counts'!G27</f>
        <v>3.25</v>
      </c>
      <c r="H28" s="6">
        <f t="shared" si="2"/>
        <v>0</v>
      </c>
      <c r="I28" s="185">
        <f t="shared" si="3"/>
        <v>0</v>
      </c>
      <c r="K28" s="244">
        <f>'Service Counts'!L27</f>
        <v>0</v>
      </c>
      <c r="L28" s="72">
        <f>'Service Counts'!M27</f>
        <v>2.95</v>
      </c>
      <c r="M28" s="6">
        <f t="shared" si="4"/>
        <v>0</v>
      </c>
      <c r="N28" s="244">
        <f t="shared" si="5"/>
        <v>0</v>
      </c>
      <c r="O28" s="72">
        <f>'Service Counts'!P27</f>
        <v>2.95</v>
      </c>
      <c r="P28" s="6">
        <f t="shared" si="6"/>
        <v>0</v>
      </c>
      <c r="Q28" s="185">
        <f t="shared" si="7"/>
        <v>0</v>
      </c>
      <c r="S28" s="244">
        <f>'Service Counts'!U27</f>
        <v>0</v>
      </c>
      <c r="T28" s="72">
        <f>'Service Counts'!V27</f>
        <v>2.95</v>
      </c>
      <c r="U28" s="6">
        <f t="shared" si="8"/>
        <v>0</v>
      </c>
      <c r="V28" s="244">
        <f t="shared" si="9"/>
        <v>0</v>
      </c>
      <c r="W28" s="72">
        <f>'Service Counts'!Y27</f>
        <v>2.95</v>
      </c>
      <c r="X28" s="6">
        <f t="shared" si="10"/>
        <v>0</v>
      </c>
      <c r="Y28" s="185">
        <f t="shared" si="11"/>
        <v>0</v>
      </c>
      <c r="Z28" s="6"/>
      <c r="AA28" s="6">
        <f t="shared" si="12"/>
        <v>0</v>
      </c>
    </row>
    <row r="29" spans="1:28">
      <c r="A29" t="s">
        <v>528</v>
      </c>
      <c r="C29" s="122">
        <f>'Service Counts'!C28</f>
        <v>0</v>
      </c>
      <c r="D29" s="72">
        <f>'Service Counts'!D28</f>
        <v>1.95</v>
      </c>
      <c r="E29" s="6">
        <f t="shared" si="0"/>
        <v>0</v>
      </c>
      <c r="F29" s="122">
        <f t="shared" si="1"/>
        <v>0</v>
      </c>
      <c r="G29" s="72">
        <f>'Service Counts'!G28</f>
        <v>1.95</v>
      </c>
      <c r="H29" s="6">
        <f t="shared" si="2"/>
        <v>0</v>
      </c>
      <c r="I29" s="185">
        <f t="shared" si="3"/>
        <v>0</v>
      </c>
      <c r="K29" s="244">
        <f>'Service Counts'!L28</f>
        <v>0</v>
      </c>
      <c r="L29" s="72">
        <f>'Service Counts'!M28</f>
        <v>1.65</v>
      </c>
      <c r="M29" s="6">
        <f t="shared" si="4"/>
        <v>0</v>
      </c>
      <c r="N29" s="244">
        <f t="shared" si="5"/>
        <v>0</v>
      </c>
      <c r="O29" s="72">
        <f>'Service Counts'!P28</f>
        <v>1.65</v>
      </c>
      <c r="P29" s="6">
        <f t="shared" si="6"/>
        <v>0</v>
      </c>
      <c r="Q29" s="185">
        <f t="shared" si="7"/>
        <v>0</v>
      </c>
      <c r="S29" s="244">
        <f>'Service Counts'!U28</f>
        <v>0</v>
      </c>
      <c r="T29" s="72">
        <f>'Service Counts'!V28</f>
        <v>1.65</v>
      </c>
      <c r="U29" s="6">
        <f t="shared" si="8"/>
        <v>0</v>
      </c>
      <c r="V29" s="244">
        <f t="shared" si="9"/>
        <v>0</v>
      </c>
      <c r="W29" s="72">
        <f>'Service Counts'!Y28</f>
        <v>1.65</v>
      </c>
      <c r="X29" s="6">
        <f t="shared" si="10"/>
        <v>0</v>
      </c>
      <c r="Y29" s="185">
        <f t="shared" si="11"/>
        <v>0</v>
      </c>
      <c r="Z29" s="6"/>
      <c r="AA29" s="6">
        <f t="shared" si="12"/>
        <v>0</v>
      </c>
    </row>
    <row r="30" spans="1:28">
      <c r="A30" t="s">
        <v>428</v>
      </c>
      <c r="C30" s="122">
        <f>'Service Counts'!C29</f>
        <v>104.5</v>
      </c>
      <c r="D30" s="72">
        <f>'Service Counts'!D29</f>
        <v>13.9</v>
      </c>
      <c r="E30" s="6">
        <f t="shared" si="0"/>
        <v>1452.55</v>
      </c>
      <c r="F30" s="122">
        <f t="shared" si="1"/>
        <v>104.5</v>
      </c>
      <c r="G30" s="72">
        <f>'Service Counts'!G29</f>
        <v>13.9</v>
      </c>
      <c r="H30" s="6">
        <f t="shared" si="2"/>
        <v>1452.55</v>
      </c>
      <c r="I30" s="185">
        <f t="shared" si="3"/>
        <v>0</v>
      </c>
      <c r="K30" s="244">
        <f>'Service Counts'!L29</f>
        <v>6.25</v>
      </c>
      <c r="L30" s="72">
        <f>'Service Counts'!M29</f>
        <v>10.55</v>
      </c>
      <c r="M30" s="6">
        <f t="shared" si="4"/>
        <v>65.9375</v>
      </c>
      <c r="N30" s="244">
        <f t="shared" si="5"/>
        <v>6.25</v>
      </c>
      <c r="O30" s="72">
        <f>'Service Counts'!P29</f>
        <v>10.55</v>
      </c>
      <c r="P30" s="6">
        <f t="shared" si="6"/>
        <v>65.9375</v>
      </c>
      <c r="Q30" s="185">
        <f t="shared" si="7"/>
        <v>0</v>
      </c>
      <c r="S30" s="244">
        <f>'Service Counts'!U29</f>
        <v>0</v>
      </c>
      <c r="T30" s="72">
        <f>'Service Counts'!V29</f>
        <v>10.55</v>
      </c>
      <c r="U30" s="6">
        <f t="shared" si="8"/>
        <v>0</v>
      </c>
      <c r="V30" s="244">
        <f t="shared" si="9"/>
        <v>0</v>
      </c>
      <c r="W30" s="72">
        <f>'Service Counts'!Y29</f>
        <v>10.55</v>
      </c>
      <c r="X30" s="6">
        <f t="shared" si="10"/>
        <v>0</v>
      </c>
      <c r="Y30" s="185">
        <f t="shared" si="11"/>
        <v>0</v>
      </c>
      <c r="Z30" s="6"/>
      <c r="AA30" s="6">
        <f t="shared" si="12"/>
        <v>0</v>
      </c>
    </row>
    <row r="31" spans="1:28">
      <c r="A31" t="s">
        <v>427</v>
      </c>
      <c r="C31" s="122">
        <f>'Service Counts'!C30</f>
        <v>527.75</v>
      </c>
      <c r="D31" s="72">
        <f>'Service Counts'!D30</f>
        <v>22.4</v>
      </c>
      <c r="E31" s="6">
        <f t="shared" si="0"/>
        <v>11821.599999999999</v>
      </c>
      <c r="F31" s="122">
        <f t="shared" si="1"/>
        <v>527.75</v>
      </c>
      <c r="G31" s="72">
        <f>'Service Counts'!G30</f>
        <v>22.4</v>
      </c>
      <c r="H31" s="6">
        <f t="shared" si="2"/>
        <v>11821.599999999999</v>
      </c>
      <c r="I31" s="185">
        <f t="shared" si="3"/>
        <v>0</v>
      </c>
      <c r="K31" s="244">
        <f>'Service Counts'!L30</f>
        <v>68.75</v>
      </c>
      <c r="L31" s="72">
        <f>'Service Counts'!M30</f>
        <v>19.600000000000001</v>
      </c>
      <c r="M31" s="6">
        <f t="shared" si="4"/>
        <v>1347.5</v>
      </c>
      <c r="N31" s="244">
        <f t="shared" si="5"/>
        <v>68.75</v>
      </c>
      <c r="O31" s="72">
        <f>'Service Counts'!P30</f>
        <v>19.600000000000001</v>
      </c>
      <c r="P31" s="6">
        <f t="shared" si="6"/>
        <v>1347.5</v>
      </c>
      <c r="Q31" s="185">
        <f t="shared" si="7"/>
        <v>0</v>
      </c>
      <c r="S31" s="244">
        <f>'Service Counts'!U30</f>
        <v>1135</v>
      </c>
      <c r="T31" s="72">
        <f>'Service Counts'!V30</f>
        <v>19.600000000000001</v>
      </c>
      <c r="U31" s="6">
        <f t="shared" si="8"/>
        <v>22246</v>
      </c>
      <c r="V31" s="244">
        <f t="shared" si="9"/>
        <v>1135</v>
      </c>
      <c r="W31" s="72">
        <f>'Service Counts'!Y30</f>
        <v>19.600000000000001</v>
      </c>
      <c r="X31" s="6">
        <f t="shared" si="10"/>
        <v>22246</v>
      </c>
      <c r="Y31" s="185">
        <f t="shared" si="11"/>
        <v>0</v>
      </c>
      <c r="Z31" s="6"/>
      <c r="AA31" s="6">
        <f t="shared" si="12"/>
        <v>0</v>
      </c>
    </row>
    <row r="32" spans="1:28">
      <c r="A32" t="s">
        <v>426</v>
      </c>
      <c r="C32" s="122">
        <f>'Service Counts'!C31</f>
        <v>0</v>
      </c>
      <c r="D32" s="72">
        <f>'Service Counts'!D31</f>
        <v>13.5</v>
      </c>
      <c r="E32" s="6">
        <f t="shared" si="0"/>
        <v>0</v>
      </c>
      <c r="F32" s="122">
        <f t="shared" si="1"/>
        <v>0</v>
      </c>
      <c r="G32" s="72">
        <f>'Service Counts'!G31</f>
        <v>13.5</v>
      </c>
      <c r="H32" s="6">
        <f t="shared" si="2"/>
        <v>0</v>
      </c>
      <c r="I32" s="185">
        <f t="shared" si="3"/>
        <v>0</v>
      </c>
      <c r="K32" s="244">
        <f>'Service Counts'!L31</f>
        <v>0</v>
      </c>
      <c r="L32" s="72">
        <f>'Service Counts'!M31</f>
        <v>12.2</v>
      </c>
      <c r="M32" s="6">
        <f t="shared" si="4"/>
        <v>0</v>
      </c>
      <c r="N32" s="244">
        <f t="shared" si="5"/>
        <v>0</v>
      </c>
      <c r="O32" s="72">
        <f>'Service Counts'!P31</f>
        <v>12.2</v>
      </c>
      <c r="P32" s="6">
        <f t="shared" si="6"/>
        <v>0</v>
      </c>
      <c r="Q32" s="185">
        <f t="shared" si="7"/>
        <v>0</v>
      </c>
      <c r="S32" s="244">
        <f>'Service Counts'!U31</f>
        <v>0</v>
      </c>
      <c r="T32" s="72">
        <f>'Service Counts'!V31</f>
        <v>12.2</v>
      </c>
      <c r="U32" s="6">
        <f t="shared" si="8"/>
        <v>0</v>
      </c>
      <c r="V32" s="244">
        <f t="shared" si="9"/>
        <v>0</v>
      </c>
      <c r="W32" s="72">
        <f>'Service Counts'!Y31</f>
        <v>12.2</v>
      </c>
      <c r="X32" s="6">
        <f t="shared" si="10"/>
        <v>0</v>
      </c>
      <c r="Y32" s="185">
        <f t="shared" si="11"/>
        <v>0</v>
      </c>
      <c r="Z32" s="6"/>
      <c r="AA32" s="6">
        <f t="shared" si="12"/>
        <v>0</v>
      </c>
      <c r="AB32" s="56">
        <f>SUM(AA11:AA32)</f>
        <v>0</v>
      </c>
    </row>
    <row r="33" spans="1:27">
      <c r="C33" s="122"/>
      <c r="D33" s="184"/>
      <c r="F33" s="122"/>
      <c r="G33" s="246"/>
      <c r="I33" s="180"/>
      <c r="K33" s="244"/>
      <c r="L33" s="246"/>
      <c r="N33" s="244"/>
      <c r="O33" s="246"/>
      <c r="Q33" s="180"/>
      <c r="S33" s="244"/>
      <c r="T33" s="246"/>
      <c r="V33" s="244"/>
      <c r="W33" s="246"/>
      <c r="Y33" s="180"/>
    </row>
    <row r="34" spans="1:27">
      <c r="A34" t="s">
        <v>425</v>
      </c>
      <c r="C34" s="122"/>
      <c r="D34" s="184"/>
      <c r="F34" s="122"/>
      <c r="G34" s="246"/>
      <c r="I34" s="180"/>
      <c r="K34" s="244"/>
      <c r="L34" s="246"/>
      <c r="N34" s="244"/>
      <c r="O34" s="246"/>
      <c r="Q34" s="180"/>
      <c r="S34" s="244"/>
      <c r="T34" s="246"/>
      <c r="V34" s="244"/>
      <c r="W34" s="246"/>
      <c r="Y34" s="180"/>
    </row>
    <row r="35" spans="1:27">
      <c r="A35" t="s">
        <v>424</v>
      </c>
      <c r="C35" s="122">
        <f>'Service Counts'!C34</f>
        <v>7843</v>
      </c>
      <c r="D35" s="72">
        <f>'Service Counts'!D34</f>
        <v>17.8</v>
      </c>
      <c r="E35" s="6">
        <f t="shared" ref="E35:E51" si="39">+C35*D35</f>
        <v>139605.4</v>
      </c>
      <c r="F35" s="122">
        <f t="shared" ref="F35:F51" si="40">+C35</f>
        <v>7843</v>
      </c>
      <c r="G35" s="72">
        <f>'Service Counts'!G34</f>
        <v>17.8</v>
      </c>
      <c r="H35" s="6">
        <f t="shared" ref="H35:H51" si="41">+F35*G35</f>
        <v>139605.4</v>
      </c>
      <c r="I35" s="185">
        <f t="shared" ref="I35:I51" si="42">+H35-E35</f>
        <v>0</v>
      </c>
      <c r="K35" s="244">
        <f>'Service Counts'!L34</f>
        <v>823</v>
      </c>
      <c r="L35" s="72">
        <f>'Service Counts'!M34</f>
        <v>15.25</v>
      </c>
      <c r="M35" s="6">
        <f t="shared" ref="M35:M51" si="43">+K35*L35</f>
        <v>12550.75</v>
      </c>
      <c r="N35" s="244">
        <f t="shared" ref="N35:N51" si="44">+K35</f>
        <v>823</v>
      </c>
      <c r="O35" s="72">
        <f>'Service Counts'!P34</f>
        <v>15.25</v>
      </c>
      <c r="P35" s="6">
        <f t="shared" ref="P35:P51" si="45">+N35*O35</f>
        <v>12550.75</v>
      </c>
      <c r="Q35" s="185">
        <f t="shared" ref="Q35:Q51" si="46">+P35-M35</f>
        <v>0</v>
      </c>
      <c r="S35" s="244">
        <f>'Service Counts'!U34</f>
        <v>1628</v>
      </c>
      <c r="T35" s="72">
        <f>'Service Counts'!V34</f>
        <v>15.25</v>
      </c>
      <c r="U35" s="6">
        <f t="shared" ref="U35:U51" si="47">+S35*T35</f>
        <v>24827</v>
      </c>
      <c r="V35" s="244">
        <f t="shared" ref="V35:V51" si="48">+S35</f>
        <v>1628</v>
      </c>
      <c r="W35" s="72">
        <f>'Service Counts'!Y34</f>
        <v>15.25</v>
      </c>
      <c r="X35" s="6">
        <f t="shared" ref="X35:X51" si="49">+V35*W35</f>
        <v>24827</v>
      </c>
      <c r="Y35" s="185">
        <f t="shared" ref="Y35:Y51" si="50">+X35-U35</f>
        <v>0</v>
      </c>
      <c r="Z35" s="6"/>
      <c r="AA35" s="6">
        <f t="shared" ref="AA35:AA51" si="51">+I35+Q35+Y35</f>
        <v>0</v>
      </c>
    </row>
    <row r="36" spans="1:27">
      <c r="A36" t="s">
        <v>1417</v>
      </c>
      <c r="C36" s="122">
        <f>'Service Counts'!C35</f>
        <v>521</v>
      </c>
      <c r="D36" s="72">
        <f>'Service Counts'!D35</f>
        <v>22.4</v>
      </c>
      <c r="E36" s="6">
        <f t="shared" si="39"/>
        <v>11670.4</v>
      </c>
      <c r="F36" s="122">
        <f>+C36</f>
        <v>521</v>
      </c>
      <c r="G36" s="72">
        <f>'Service Counts'!G35</f>
        <v>22.4</v>
      </c>
      <c r="H36" s="6">
        <f t="shared" ref="H36" si="52">+F36*G36</f>
        <v>11670.4</v>
      </c>
      <c r="I36" s="185">
        <f t="shared" ref="I36" si="53">+H36-E36</f>
        <v>0</v>
      </c>
      <c r="K36" s="244">
        <f>'Service Counts'!L35</f>
        <v>0</v>
      </c>
      <c r="L36" s="72">
        <f>'Service Counts'!M35</f>
        <v>0</v>
      </c>
      <c r="M36" s="6">
        <f t="shared" ref="M36" si="54">+K36*L36</f>
        <v>0</v>
      </c>
      <c r="N36" s="244">
        <f t="shared" ref="N36" si="55">+K36</f>
        <v>0</v>
      </c>
      <c r="O36" s="72">
        <f>'Service Counts'!P35</f>
        <v>0</v>
      </c>
      <c r="P36" s="6">
        <f t="shared" ref="P36" si="56">+N36*O36</f>
        <v>0</v>
      </c>
      <c r="Q36" s="185">
        <f t="shared" ref="Q36" si="57">+P36-M36</f>
        <v>0</v>
      </c>
      <c r="S36" s="244">
        <f>'Service Counts'!U35</f>
        <v>0</v>
      </c>
      <c r="T36" s="72">
        <f>'Service Counts'!V35</f>
        <v>0</v>
      </c>
      <c r="U36" s="6">
        <f t="shared" ref="U36" si="58">+S36*T36</f>
        <v>0</v>
      </c>
      <c r="V36" s="244">
        <f t="shared" ref="V36" si="59">+S36</f>
        <v>0</v>
      </c>
      <c r="W36" s="72">
        <f>'Service Counts'!Y35</f>
        <v>0</v>
      </c>
      <c r="X36" s="6">
        <f t="shared" ref="X36" si="60">+V36*W36</f>
        <v>0</v>
      </c>
      <c r="Y36" s="185">
        <f t="shared" ref="Y36" si="61">+X36-U36</f>
        <v>0</v>
      </c>
      <c r="Z36" s="6"/>
      <c r="AA36" s="6"/>
    </row>
    <row r="37" spans="1:27">
      <c r="A37" t="s">
        <v>423</v>
      </c>
      <c r="C37" s="122">
        <f>'Service Counts'!C36</f>
        <v>2304</v>
      </c>
      <c r="D37" s="72">
        <f>'Service Counts'!D36</f>
        <v>23.15</v>
      </c>
      <c r="E37" s="6">
        <f t="shared" si="39"/>
        <v>53337.599999999999</v>
      </c>
      <c r="F37" s="122">
        <f t="shared" si="40"/>
        <v>2304</v>
      </c>
      <c r="G37" s="72">
        <f>'Service Counts'!G36</f>
        <v>23.15</v>
      </c>
      <c r="H37" s="6">
        <f t="shared" si="41"/>
        <v>53337.599999999999</v>
      </c>
      <c r="I37" s="185">
        <f t="shared" si="42"/>
        <v>0</v>
      </c>
      <c r="K37" s="244">
        <f>'Service Counts'!L36</f>
        <v>0</v>
      </c>
      <c r="L37" s="72">
        <f>'Service Counts'!M36</f>
        <v>20.399999999999999</v>
      </c>
      <c r="M37" s="6">
        <f t="shared" si="43"/>
        <v>0</v>
      </c>
      <c r="N37" s="244">
        <f t="shared" si="44"/>
        <v>0</v>
      </c>
      <c r="O37" s="72">
        <f>'Service Counts'!P36</f>
        <v>20.399999999999999</v>
      </c>
      <c r="P37" s="6">
        <f t="shared" si="45"/>
        <v>0</v>
      </c>
      <c r="Q37" s="185">
        <f t="shared" si="46"/>
        <v>0</v>
      </c>
      <c r="S37" s="244">
        <f>'Service Counts'!U36</f>
        <v>0</v>
      </c>
      <c r="T37" s="72">
        <f>'Service Counts'!V36</f>
        <v>20.399999999999999</v>
      </c>
      <c r="U37" s="6">
        <f t="shared" si="47"/>
        <v>0</v>
      </c>
      <c r="V37" s="244">
        <f t="shared" si="48"/>
        <v>0</v>
      </c>
      <c r="W37" s="72">
        <f>'Service Counts'!Y36</f>
        <v>20.399999999999999</v>
      </c>
      <c r="X37" s="6">
        <f t="shared" si="49"/>
        <v>0</v>
      </c>
      <c r="Y37" s="185">
        <f t="shared" si="50"/>
        <v>0</v>
      </c>
      <c r="Z37" s="6"/>
      <c r="AA37" s="6">
        <f t="shared" si="51"/>
        <v>0</v>
      </c>
    </row>
    <row r="38" spans="1:27">
      <c r="A38" t="s">
        <v>422</v>
      </c>
      <c r="C38" s="122">
        <f>'Service Counts'!C37</f>
        <v>8087</v>
      </c>
      <c r="D38" s="72">
        <f>'Service Counts'!D37</f>
        <v>28.5</v>
      </c>
      <c r="E38" s="6">
        <f t="shared" si="39"/>
        <v>230479.5</v>
      </c>
      <c r="F38" s="122">
        <f t="shared" si="40"/>
        <v>8087</v>
      </c>
      <c r="G38" s="72">
        <f>'Service Counts'!G37</f>
        <v>28.5</v>
      </c>
      <c r="H38" s="6">
        <f t="shared" si="41"/>
        <v>230479.5</v>
      </c>
      <c r="I38" s="185">
        <f t="shared" si="42"/>
        <v>0</v>
      </c>
      <c r="K38" s="244">
        <f>'Service Counts'!L37</f>
        <v>653</v>
      </c>
      <c r="L38" s="72">
        <f>'Service Counts'!M37</f>
        <v>23.3</v>
      </c>
      <c r="M38" s="6">
        <f t="shared" si="43"/>
        <v>15214.9</v>
      </c>
      <c r="N38" s="244">
        <f t="shared" si="44"/>
        <v>653</v>
      </c>
      <c r="O38" s="72">
        <f>'Service Counts'!P37</f>
        <v>23.3</v>
      </c>
      <c r="P38" s="6">
        <f t="shared" si="45"/>
        <v>15214.9</v>
      </c>
      <c r="Q38" s="185">
        <f t="shared" si="46"/>
        <v>0</v>
      </c>
      <c r="S38" s="244">
        <f>'Service Counts'!U37</f>
        <v>2100</v>
      </c>
      <c r="T38" s="72">
        <f>'Service Counts'!V37</f>
        <v>23.3</v>
      </c>
      <c r="U38" s="6">
        <f t="shared" si="47"/>
        <v>48930</v>
      </c>
      <c r="V38" s="244">
        <f t="shared" si="48"/>
        <v>2100</v>
      </c>
      <c r="W38" s="72">
        <f>'Service Counts'!Y37</f>
        <v>23.3</v>
      </c>
      <c r="X38" s="6">
        <f t="shared" si="49"/>
        <v>48930</v>
      </c>
      <c r="Y38" s="185">
        <f t="shared" si="50"/>
        <v>0</v>
      </c>
      <c r="Z38" s="6"/>
      <c r="AA38" s="6">
        <f t="shared" si="51"/>
        <v>0</v>
      </c>
    </row>
    <row r="39" spans="1:27">
      <c r="A39" t="s">
        <v>1418</v>
      </c>
      <c r="C39" s="122">
        <f>'Service Counts'!C38</f>
        <v>127</v>
      </c>
      <c r="D39" s="72">
        <f>'Service Counts'!D38</f>
        <v>34.549999999999997</v>
      </c>
      <c r="E39" s="6">
        <f t="shared" ref="E39" si="62">+C39*D39</f>
        <v>4387.8499999999995</v>
      </c>
      <c r="F39" s="122">
        <f t="shared" ref="F39" si="63">+C39</f>
        <v>127</v>
      </c>
      <c r="G39" s="72">
        <f>'Service Counts'!G38</f>
        <v>34.549999999999997</v>
      </c>
      <c r="H39" s="6">
        <f t="shared" ref="H39" si="64">+F39*G39</f>
        <v>4387.8499999999995</v>
      </c>
      <c r="I39" s="185">
        <f t="shared" ref="I39" si="65">+H39-E39</f>
        <v>0</v>
      </c>
      <c r="K39" s="244">
        <f>'Service Counts'!L38</f>
        <v>0</v>
      </c>
      <c r="L39" s="72">
        <f>'Service Counts'!M38</f>
        <v>0</v>
      </c>
      <c r="M39" s="6">
        <f t="shared" ref="M39" si="66">+K39*L39</f>
        <v>0</v>
      </c>
      <c r="N39" s="244">
        <f t="shared" ref="N39" si="67">+K39</f>
        <v>0</v>
      </c>
      <c r="O39" s="72">
        <f>'Service Counts'!P38</f>
        <v>0</v>
      </c>
      <c r="P39" s="6">
        <f t="shared" ref="P39" si="68">+N39*O39</f>
        <v>0</v>
      </c>
      <c r="Q39" s="185">
        <f t="shared" ref="Q39" si="69">+P39-M39</f>
        <v>0</v>
      </c>
      <c r="S39" s="244">
        <f>'Service Counts'!U38</f>
        <v>0</v>
      </c>
      <c r="T39" s="72">
        <f>'Service Counts'!V38</f>
        <v>0</v>
      </c>
      <c r="U39" s="6">
        <f t="shared" ref="U39" si="70">+S39*T39</f>
        <v>0</v>
      </c>
      <c r="V39" s="244">
        <f t="shared" ref="V39" si="71">+S39</f>
        <v>0</v>
      </c>
      <c r="W39" s="72">
        <f>'Service Counts'!Y38</f>
        <v>0</v>
      </c>
      <c r="X39" s="6">
        <f t="shared" ref="X39" si="72">+V39*W39</f>
        <v>0</v>
      </c>
      <c r="Y39" s="185">
        <f t="shared" ref="Y39" si="73">+X39-U39</f>
        <v>0</v>
      </c>
      <c r="Z39" s="6"/>
      <c r="AA39" s="6"/>
    </row>
    <row r="40" spans="1:27">
      <c r="A40" t="s">
        <v>421</v>
      </c>
      <c r="C40" s="122">
        <f>'Service Counts'!C39</f>
        <v>765</v>
      </c>
      <c r="D40" s="72">
        <f>'Service Counts'!D39</f>
        <v>39.950000000000003</v>
      </c>
      <c r="E40" s="6">
        <f t="shared" si="39"/>
        <v>30561.750000000004</v>
      </c>
      <c r="F40" s="122">
        <f t="shared" si="40"/>
        <v>765</v>
      </c>
      <c r="G40" s="72">
        <f>'Service Counts'!G39</f>
        <v>39.950000000000003</v>
      </c>
      <c r="H40" s="6">
        <f t="shared" si="41"/>
        <v>30561.750000000004</v>
      </c>
      <c r="I40" s="185">
        <f t="shared" si="42"/>
        <v>0</v>
      </c>
      <c r="K40" s="244">
        <f>'Service Counts'!L39</f>
        <v>52</v>
      </c>
      <c r="L40" s="72">
        <f>'Service Counts'!M39</f>
        <v>30.5</v>
      </c>
      <c r="M40" s="6">
        <f t="shared" si="43"/>
        <v>1586</v>
      </c>
      <c r="N40" s="244">
        <f t="shared" si="44"/>
        <v>52</v>
      </c>
      <c r="O40" s="72">
        <f>'Service Counts'!P39</f>
        <v>30.5</v>
      </c>
      <c r="P40" s="6">
        <f t="shared" si="45"/>
        <v>1586</v>
      </c>
      <c r="Q40" s="185">
        <f t="shared" si="46"/>
        <v>0</v>
      </c>
      <c r="S40" s="244">
        <f>'Service Counts'!U39</f>
        <v>0</v>
      </c>
      <c r="T40" s="72">
        <f>'Service Counts'!V39</f>
        <v>30.5</v>
      </c>
      <c r="U40" s="6">
        <f t="shared" si="47"/>
        <v>0</v>
      </c>
      <c r="V40" s="244">
        <f t="shared" si="48"/>
        <v>0</v>
      </c>
      <c r="W40" s="72">
        <f>'Service Counts'!Y39</f>
        <v>30.5</v>
      </c>
      <c r="X40" s="6">
        <f t="shared" si="49"/>
        <v>0</v>
      </c>
      <c r="Y40" s="185">
        <f t="shared" si="50"/>
        <v>0</v>
      </c>
      <c r="Z40" s="6"/>
      <c r="AA40" s="6">
        <f t="shared" si="51"/>
        <v>0</v>
      </c>
    </row>
    <row r="41" spans="1:27">
      <c r="A41" t="s">
        <v>420</v>
      </c>
      <c r="C41" s="122">
        <f>'Service Counts'!C40</f>
        <v>2165</v>
      </c>
      <c r="D41" s="72">
        <f>'Service Counts'!D40</f>
        <v>52.6</v>
      </c>
      <c r="E41" s="6">
        <f t="shared" si="39"/>
        <v>113879</v>
      </c>
      <c r="F41" s="122">
        <f t="shared" si="40"/>
        <v>2165</v>
      </c>
      <c r="G41" s="72">
        <f>'Service Counts'!G40</f>
        <v>52.6</v>
      </c>
      <c r="H41" s="6">
        <f t="shared" si="41"/>
        <v>113879</v>
      </c>
      <c r="I41" s="185">
        <f t="shared" si="42"/>
        <v>0</v>
      </c>
      <c r="K41" s="244">
        <f>'Service Counts'!L40</f>
        <v>612</v>
      </c>
      <c r="L41" s="72">
        <f>'Service Counts'!M40</f>
        <v>38.950000000000003</v>
      </c>
      <c r="M41" s="6">
        <f t="shared" si="43"/>
        <v>23837.4</v>
      </c>
      <c r="N41" s="244">
        <f t="shared" si="44"/>
        <v>612</v>
      </c>
      <c r="O41" s="72">
        <f>'Service Counts'!P40</f>
        <v>38.950000000000003</v>
      </c>
      <c r="P41" s="6">
        <f t="shared" si="45"/>
        <v>23837.4</v>
      </c>
      <c r="Q41" s="185">
        <f t="shared" si="46"/>
        <v>0</v>
      </c>
      <c r="S41" s="244">
        <f>'Service Counts'!U40</f>
        <v>731</v>
      </c>
      <c r="T41" s="72">
        <f>'Service Counts'!V40</f>
        <v>38.950000000000003</v>
      </c>
      <c r="U41" s="6">
        <f t="shared" si="47"/>
        <v>28472.45</v>
      </c>
      <c r="V41" s="244">
        <f t="shared" si="48"/>
        <v>731</v>
      </c>
      <c r="W41" s="72">
        <f>'Service Counts'!Y40</f>
        <v>38.950000000000003</v>
      </c>
      <c r="X41" s="6">
        <f t="shared" si="49"/>
        <v>28472.45</v>
      </c>
      <c r="Y41" s="185">
        <f t="shared" si="50"/>
        <v>0</v>
      </c>
      <c r="Z41" s="6"/>
      <c r="AA41" s="6">
        <f t="shared" si="51"/>
        <v>0</v>
      </c>
    </row>
    <row r="42" spans="1:27">
      <c r="A42" t="s">
        <v>419</v>
      </c>
      <c r="C42" s="122">
        <f>'Service Counts'!C41</f>
        <v>2181</v>
      </c>
      <c r="D42" s="72">
        <f>'Service Counts'!D41</f>
        <v>77.25</v>
      </c>
      <c r="E42" s="6">
        <f t="shared" si="39"/>
        <v>168482.25</v>
      </c>
      <c r="F42" s="122">
        <f t="shared" si="40"/>
        <v>2181</v>
      </c>
      <c r="G42" s="72">
        <f>'Service Counts'!G41</f>
        <v>77.25</v>
      </c>
      <c r="H42" s="6">
        <f t="shared" si="41"/>
        <v>168482.25</v>
      </c>
      <c r="I42" s="185">
        <f t="shared" si="42"/>
        <v>0</v>
      </c>
      <c r="K42" s="244">
        <f>'Service Counts'!L41</f>
        <v>273</v>
      </c>
      <c r="L42" s="72">
        <f>'Service Counts'!M41</f>
        <v>61.6</v>
      </c>
      <c r="M42" s="6">
        <f t="shared" si="43"/>
        <v>16816.8</v>
      </c>
      <c r="N42" s="244">
        <f t="shared" si="44"/>
        <v>273</v>
      </c>
      <c r="O42" s="72">
        <f>'Service Counts'!P41</f>
        <v>61.6</v>
      </c>
      <c r="P42" s="6">
        <f t="shared" si="45"/>
        <v>16816.8</v>
      </c>
      <c r="Q42" s="185">
        <f t="shared" si="46"/>
        <v>0</v>
      </c>
      <c r="S42" s="244">
        <f>'Service Counts'!U41</f>
        <v>2878</v>
      </c>
      <c r="T42" s="72">
        <f>'Service Counts'!V41</f>
        <v>61.6</v>
      </c>
      <c r="U42" s="6">
        <f t="shared" si="47"/>
        <v>177284.80000000002</v>
      </c>
      <c r="V42" s="244">
        <f t="shared" si="48"/>
        <v>2878</v>
      </c>
      <c r="W42" s="72">
        <f>'Service Counts'!Y41</f>
        <v>61.6</v>
      </c>
      <c r="X42" s="6">
        <f t="shared" si="49"/>
        <v>177284.80000000002</v>
      </c>
      <c r="Y42" s="185">
        <f t="shared" si="50"/>
        <v>0</v>
      </c>
      <c r="Z42" s="6"/>
      <c r="AA42" s="6">
        <f t="shared" si="51"/>
        <v>0</v>
      </c>
    </row>
    <row r="43" spans="1:27">
      <c r="A43" t="s">
        <v>418</v>
      </c>
      <c r="C43" s="122">
        <f>'Service Counts'!C42</f>
        <v>0</v>
      </c>
      <c r="D43" s="72">
        <f>'Service Counts'!D42</f>
        <v>88.14</v>
      </c>
      <c r="E43" s="6">
        <f t="shared" si="39"/>
        <v>0</v>
      </c>
      <c r="F43" s="122">
        <f t="shared" si="40"/>
        <v>0</v>
      </c>
      <c r="G43" s="72">
        <f>'Service Counts'!G42</f>
        <v>88.14</v>
      </c>
      <c r="H43" s="6">
        <f t="shared" si="41"/>
        <v>0</v>
      </c>
      <c r="I43" s="185">
        <f t="shared" si="42"/>
        <v>0</v>
      </c>
      <c r="K43" s="244">
        <f>'Service Counts'!L42</f>
        <v>0</v>
      </c>
      <c r="L43" s="72">
        <f>'Service Counts'!M42</f>
        <v>81.900000000000006</v>
      </c>
      <c r="M43" s="6">
        <f t="shared" si="43"/>
        <v>0</v>
      </c>
      <c r="N43" s="244">
        <f t="shared" si="44"/>
        <v>0</v>
      </c>
      <c r="O43" s="72">
        <f>'Service Counts'!P42</f>
        <v>81.900000000000006</v>
      </c>
      <c r="P43" s="6">
        <f t="shared" si="45"/>
        <v>0</v>
      </c>
      <c r="Q43" s="185">
        <f t="shared" si="46"/>
        <v>0</v>
      </c>
      <c r="S43" s="244">
        <f>'Service Counts'!U42</f>
        <v>0</v>
      </c>
      <c r="T43" s="72">
        <f>'Service Counts'!V42</f>
        <v>81.900000000000006</v>
      </c>
      <c r="U43" s="6">
        <f t="shared" si="47"/>
        <v>0</v>
      </c>
      <c r="V43" s="244">
        <f t="shared" si="48"/>
        <v>0</v>
      </c>
      <c r="W43" s="72">
        <f>'Service Counts'!Y42</f>
        <v>81.900000000000006</v>
      </c>
      <c r="X43" s="6">
        <f t="shared" si="49"/>
        <v>0</v>
      </c>
      <c r="Y43" s="185">
        <f t="shared" si="50"/>
        <v>0</v>
      </c>
      <c r="Z43" s="6"/>
      <c r="AA43" s="6">
        <f t="shared" si="51"/>
        <v>0</v>
      </c>
    </row>
    <row r="44" spans="1:27">
      <c r="A44" t="s">
        <v>417</v>
      </c>
      <c r="C44" s="122">
        <f>'Service Counts'!C43</f>
        <v>84</v>
      </c>
      <c r="D44" s="72">
        <f>'Service Counts'!D43</f>
        <v>10.15</v>
      </c>
      <c r="E44" s="6">
        <f t="shared" si="39"/>
        <v>852.6</v>
      </c>
      <c r="F44" s="122">
        <f t="shared" si="40"/>
        <v>84</v>
      </c>
      <c r="G44" s="72">
        <f>'Service Counts'!G43</f>
        <v>10.15</v>
      </c>
      <c r="H44" s="6">
        <f t="shared" si="41"/>
        <v>852.6</v>
      </c>
      <c r="I44" s="185">
        <f t="shared" si="42"/>
        <v>0</v>
      </c>
      <c r="K44" s="244">
        <f>'Service Counts'!L43</f>
        <v>2</v>
      </c>
      <c r="L44" s="72">
        <f>'Service Counts'!M43</f>
        <v>8.25</v>
      </c>
      <c r="M44" s="6">
        <f t="shared" si="43"/>
        <v>16.5</v>
      </c>
      <c r="N44" s="244">
        <f t="shared" si="44"/>
        <v>2</v>
      </c>
      <c r="O44" s="72">
        <f>'Service Counts'!P43</f>
        <v>8.25</v>
      </c>
      <c r="P44" s="6">
        <f t="shared" si="45"/>
        <v>16.5</v>
      </c>
      <c r="Q44" s="185">
        <f t="shared" si="46"/>
        <v>0</v>
      </c>
      <c r="S44" s="244">
        <f>'Service Counts'!U43</f>
        <v>2</v>
      </c>
      <c r="T44" s="72">
        <f>'Service Counts'!V43</f>
        <v>8.25</v>
      </c>
      <c r="U44" s="6">
        <f t="shared" si="47"/>
        <v>16.5</v>
      </c>
      <c r="V44" s="244">
        <f t="shared" si="48"/>
        <v>2</v>
      </c>
      <c r="W44" s="72">
        <f>'Service Counts'!Y43</f>
        <v>8.25</v>
      </c>
      <c r="X44" s="6">
        <f t="shared" si="49"/>
        <v>16.5</v>
      </c>
      <c r="Y44" s="185">
        <f t="shared" si="50"/>
        <v>0</v>
      </c>
      <c r="Z44" s="6"/>
      <c r="AA44" s="6">
        <f t="shared" si="51"/>
        <v>0</v>
      </c>
    </row>
    <row r="45" spans="1:27">
      <c r="A45" t="s">
        <v>416</v>
      </c>
      <c r="C45" s="122">
        <f>'Service Counts'!C44</f>
        <v>13</v>
      </c>
      <c r="D45" s="72">
        <f>'Service Counts'!D44</f>
        <v>13.3</v>
      </c>
      <c r="E45" s="6">
        <f t="shared" si="39"/>
        <v>172.9</v>
      </c>
      <c r="F45" s="122">
        <f t="shared" si="40"/>
        <v>13</v>
      </c>
      <c r="G45" s="72">
        <f>'Service Counts'!G44</f>
        <v>13.3</v>
      </c>
      <c r="H45" s="6">
        <f t="shared" si="41"/>
        <v>172.9</v>
      </c>
      <c r="I45" s="185">
        <f t="shared" si="42"/>
        <v>0</v>
      </c>
      <c r="K45" s="244">
        <f>'Service Counts'!L44</f>
        <v>0</v>
      </c>
      <c r="L45" s="72">
        <f>'Service Counts'!M44</f>
        <v>10.9</v>
      </c>
      <c r="M45" s="6">
        <f t="shared" si="43"/>
        <v>0</v>
      </c>
      <c r="N45" s="244">
        <f t="shared" si="44"/>
        <v>0</v>
      </c>
      <c r="O45" s="72">
        <f>'Service Counts'!P44</f>
        <v>10.9</v>
      </c>
      <c r="P45" s="6">
        <f t="shared" si="45"/>
        <v>0</v>
      </c>
      <c r="Q45" s="185">
        <f t="shared" si="46"/>
        <v>0</v>
      </c>
      <c r="S45" s="244">
        <f>'Service Counts'!U44</f>
        <v>0</v>
      </c>
      <c r="T45" s="72">
        <f>'Service Counts'!V44</f>
        <v>10.9</v>
      </c>
      <c r="U45" s="6">
        <f t="shared" si="47"/>
        <v>0</v>
      </c>
      <c r="V45" s="244">
        <f t="shared" si="48"/>
        <v>0</v>
      </c>
      <c r="W45" s="72">
        <f>'Service Counts'!Y44</f>
        <v>10.9</v>
      </c>
      <c r="X45" s="6">
        <f t="shared" si="49"/>
        <v>0</v>
      </c>
      <c r="Y45" s="185">
        <f t="shared" si="50"/>
        <v>0</v>
      </c>
      <c r="Z45" s="6"/>
      <c r="AA45" s="6">
        <f t="shared" si="51"/>
        <v>0</v>
      </c>
    </row>
    <row r="46" spans="1:27">
      <c r="A46" t="s">
        <v>415</v>
      </c>
      <c r="C46" s="122">
        <f>'Service Counts'!C45</f>
        <v>47</v>
      </c>
      <c r="D46" s="72">
        <f>'Service Counts'!D45</f>
        <v>17.600000000000001</v>
      </c>
      <c r="E46" s="6">
        <f t="shared" si="39"/>
        <v>827.2</v>
      </c>
      <c r="F46" s="122">
        <f t="shared" si="40"/>
        <v>47</v>
      </c>
      <c r="G46" s="72">
        <f>'Service Counts'!G45</f>
        <v>17.600000000000001</v>
      </c>
      <c r="H46" s="6">
        <f t="shared" si="41"/>
        <v>827.2</v>
      </c>
      <c r="I46" s="185">
        <f t="shared" si="42"/>
        <v>0</v>
      </c>
      <c r="K46" s="244">
        <f>'Service Counts'!L45</f>
        <v>3</v>
      </c>
      <c r="L46" s="72">
        <f>'Service Counts'!M45</f>
        <v>14.5</v>
      </c>
      <c r="M46" s="6">
        <f t="shared" si="43"/>
        <v>43.5</v>
      </c>
      <c r="N46" s="244">
        <f t="shared" si="44"/>
        <v>3</v>
      </c>
      <c r="O46" s="72">
        <f>'Service Counts'!P45</f>
        <v>14.5</v>
      </c>
      <c r="P46" s="6">
        <f t="shared" si="45"/>
        <v>43.5</v>
      </c>
      <c r="Q46" s="185">
        <f t="shared" si="46"/>
        <v>0</v>
      </c>
      <c r="S46" s="244">
        <f>'Service Counts'!U45</f>
        <v>5</v>
      </c>
      <c r="T46" s="72">
        <f>'Service Counts'!V45</f>
        <v>14.5</v>
      </c>
      <c r="U46" s="6">
        <f t="shared" si="47"/>
        <v>72.5</v>
      </c>
      <c r="V46" s="244">
        <f t="shared" si="48"/>
        <v>5</v>
      </c>
      <c r="W46" s="72">
        <f>'Service Counts'!Y45</f>
        <v>14.5</v>
      </c>
      <c r="X46" s="6">
        <f t="shared" si="49"/>
        <v>72.5</v>
      </c>
      <c r="Y46" s="185">
        <f t="shared" si="50"/>
        <v>0</v>
      </c>
      <c r="Z46" s="6"/>
      <c r="AA46" s="6">
        <f t="shared" si="51"/>
        <v>0</v>
      </c>
    </row>
    <row r="47" spans="1:27">
      <c r="A47" t="s">
        <v>414</v>
      </c>
      <c r="C47" s="122">
        <f>'Service Counts'!C46</f>
        <v>0</v>
      </c>
      <c r="D47" s="72">
        <f>'Service Counts'!D46</f>
        <v>19.45</v>
      </c>
      <c r="E47" s="6">
        <f t="shared" si="39"/>
        <v>0</v>
      </c>
      <c r="F47" s="122">
        <f t="shared" si="40"/>
        <v>0</v>
      </c>
      <c r="G47" s="72">
        <f>'Service Counts'!G46</f>
        <v>19.45</v>
      </c>
      <c r="H47" s="6">
        <f t="shared" si="41"/>
        <v>0</v>
      </c>
      <c r="I47" s="185">
        <f t="shared" si="42"/>
        <v>0</v>
      </c>
      <c r="K47" s="244">
        <f>'Service Counts'!L46</f>
        <v>0</v>
      </c>
      <c r="L47" s="72">
        <f>'Service Counts'!M46</f>
        <v>15.2</v>
      </c>
      <c r="M47" s="6">
        <f t="shared" si="43"/>
        <v>0</v>
      </c>
      <c r="N47" s="244">
        <f t="shared" si="44"/>
        <v>0</v>
      </c>
      <c r="O47" s="72">
        <f>'Service Counts'!P46</f>
        <v>15.2</v>
      </c>
      <c r="P47" s="6">
        <f t="shared" si="45"/>
        <v>0</v>
      </c>
      <c r="Q47" s="185">
        <f t="shared" si="46"/>
        <v>0</v>
      </c>
      <c r="S47" s="244">
        <f>'Service Counts'!U46</f>
        <v>0</v>
      </c>
      <c r="T47" s="72">
        <f>'Service Counts'!V46</f>
        <v>15.2</v>
      </c>
      <c r="U47" s="6">
        <f t="shared" si="47"/>
        <v>0</v>
      </c>
      <c r="V47" s="244">
        <f t="shared" si="48"/>
        <v>0</v>
      </c>
      <c r="W47" s="72">
        <f>'Service Counts'!Y46</f>
        <v>15.2</v>
      </c>
      <c r="X47" s="6">
        <f t="shared" si="49"/>
        <v>0</v>
      </c>
      <c r="Y47" s="185">
        <f t="shared" si="50"/>
        <v>0</v>
      </c>
      <c r="Z47" s="6"/>
      <c r="AA47" s="6">
        <f t="shared" si="51"/>
        <v>0</v>
      </c>
    </row>
    <row r="48" spans="1:27">
      <c r="A48" t="s">
        <v>413</v>
      </c>
      <c r="C48" s="122">
        <f>'Service Counts'!C47</f>
        <v>14</v>
      </c>
      <c r="D48" s="72">
        <f>'Service Counts'!D47</f>
        <v>19.45</v>
      </c>
      <c r="E48" s="6">
        <f t="shared" si="39"/>
        <v>272.3</v>
      </c>
      <c r="F48" s="122">
        <f t="shared" si="40"/>
        <v>14</v>
      </c>
      <c r="G48" s="72">
        <f>'Service Counts'!G47</f>
        <v>19.45</v>
      </c>
      <c r="H48" s="6">
        <f t="shared" si="41"/>
        <v>272.3</v>
      </c>
      <c r="I48" s="185">
        <f t="shared" si="42"/>
        <v>0</v>
      </c>
      <c r="K48" s="244">
        <f>'Service Counts'!L47</f>
        <v>0</v>
      </c>
      <c r="L48" s="72">
        <f>'Service Counts'!M47</f>
        <v>15.8</v>
      </c>
      <c r="M48" s="6">
        <f t="shared" si="43"/>
        <v>0</v>
      </c>
      <c r="N48" s="244">
        <f t="shared" si="44"/>
        <v>0</v>
      </c>
      <c r="O48" s="72">
        <f>'Service Counts'!P47</f>
        <v>15.8</v>
      </c>
      <c r="P48" s="6">
        <f t="shared" si="45"/>
        <v>0</v>
      </c>
      <c r="Q48" s="185">
        <f t="shared" si="46"/>
        <v>0</v>
      </c>
      <c r="S48" s="244">
        <f>'Service Counts'!U47</f>
        <v>3</v>
      </c>
      <c r="T48" s="72">
        <f>'Service Counts'!V47</f>
        <v>15.8</v>
      </c>
      <c r="U48" s="6">
        <f t="shared" si="47"/>
        <v>47.400000000000006</v>
      </c>
      <c r="V48" s="244">
        <f t="shared" si="48"/>
        <v>3</v>
      </c>
      <c r="W48" s="72">
        <f>'Service Counts'!Y47</f>
        <v>15.8</v>
      </c>
      <c r="X48" s="6">
        <f t="shared" si="49"/>
        <v>47.400000000000006</v>
      </c>
      <c r="Y48" s="185">
        <f t="shared" si="50"/>
        <v>0</v>
      </c>
      <c r="Z48" s="6"/>
      <c r="AA48" s="6">
        <f t="shared" si="51"/>
        <v>0</v>
      </c>
    </row>
    <row r="49" spans="1:28">
      <c r="A49" t="s">
        <v>412</v>
      </c>
      <c r="C49" s="122">
        <f>'Service Counts'!C48</f>
        <v>5</v>
      </c>
      <c r="D49" s="72">
        <f>'Service Counts'!D48</f>
        <v>22.4</v>
      </c>
      <c r="E49" s="6">
        <f t="shared" si="39"/>
        <v>112</v>
      </c>
      <c r="F49" s="122">
        <f t="shared" si="40"/>
        <v>5</v>
      </c>
      <c r="G49" s="72">
        <f>'Service Counts'!G48</f>
        <v>22.4</v>
      </c>
      <c r="H49" s="6">
        <f t="shared" si="41"/>
        <v>112</v>
      </c>
      <c r="I49" s="185">
        <f t="shared" si="42"/>
        <v>0</v>
      </c>
      <c r="K49" s="244">
        <f>'Service Counts'!L48</f>
        <v>0</v>
      </c>
      <c r="L49" s="72">
        <f>'Service Counts'!M48</f>
        <v>18.350000000000001</v>
      </c>
      <c r="M49" s="6">
        <f t="shared" si="43"/>
        <v>0</v>
      </c>
      <c r="N49" s="244">
        <f t="shared" si="44"/>
        <v>0</v>
      </c>
      <c r="O49" s="72">
        <f>'Service Counts'!P48</f>
        <v>18.350000000000001</v>
      </c>
      <c r="P49" s="6">
        <f t="shared" si="45"/>
        <v>0</v>
      </c>
      <c r="Q49" s="185">
        <f t="shared" si="46"/>
        <v>0</v>
      </c>
      <c r="S49" s="244">
        <f>'Service Counts'!U48</f>
        <v>3</v>
      </c>
      <c r="T49" s="72">
        <f>'Service Counts'!V48</f>
        <v>18.350000000000001</v>
      </c>
      <c r="U49" s="6">
        <f t="shared" si="47"/>
        <v>55.050000000000004</v>
      </c>
      <c r="V49" s="244">
        <f t="shared" si="48"/>
        <v>3</v>
      </c>
      <c r="W49" s="72">
        <f>'Service Counts'!Y48</f>
        <v>18.350000000000001</v>
      </c>
      <c r="X49" s="6">
        <f t="shared" si="49"/>
        <v>55.050000000000004</v>
      </c>
      <c r="Y49" s="185">
        <f t="shared" si="50"/>
        <v>0</v>
      </c>
      <c r="Z49" s="6"/>
      <c r="AA49" s="6">
        <f t="shared" si="51"/>
        <v>0</v>
      </c>
    </row>
    <row r="50" spans="1:28">
      <c r="A50" t="s">
        <v>411</v>
      </c>
      <c r="C50" s="122">
        <f>'Service Counts'!C49</f>
        <v>104</v>
      </c>
      <c r="D50" s="72">
        <f>'Service Counts'!D49</f>
        <v>2.85</v>
      </c>
      <c r="E50" s="6">
        <f t="shared" si="39"/>
        <v>296.40000000000003</v>
      </c>
      <c r="F50" s="122">
        <f t="shared" si="40"/>
        <v>104</v>
      </c>
      <c r="G50" s="72">
        <f>'Service Counts'!G49</f>
        <v>2.85</v>
      </c>
      <c r="H50" s="6">
        <f t="shared" si="41"/>
        <v>296.40000000000003</v>
      </c>
      <c r="I50" s="185">
        <f t="shared" si="42"/>
        <v>0</v>
      </c>
      <c r="K50" s="244">
        <f>'Service Counts'!L49</f>
        <v>0</v>
      </c>
      <c r="L50" s="72">
        <f>'Service Counts'!M49</f>
        <v>2.2999999999999998</v>
      </c>
      <c r="M50" s="6">
        <f t="shared" si="43"/>
        <v>0</v>
      </c>
      <c r="N50" s="244">
        <f t="shared" si="44"/>
        <v>0</v>
      </c>
      <c r="O50" s="72">
        <f>'Service Counts'!P49</f>
        <v>2.2999999999999998</v>
      </c>
      <c r="P50" s="6">
        <f t="shared" si="45"/>
        <v>0</v>
      </c>
      <c r="Q50" s="185">
        <f t="shared" si="46"/>
        <v>0</v>
      </c>
      <c r="S50" s="244">
        <f>'Service Counts'!U49</f>
        <v>0</v>
      </c>
      <c r="T50" s="72">
        <f>'Service Counts'!V49</f>
        <v>2.2999999999999998</v>
      </c>
      <c r="U50" s="6">
        <f t="shared" si="47"/>
        <v>0</v>
      </c>
      <c r="V50" s="244">
        <f t="shared" si="48"/>
        <v>0</v>
      </c>
      <c r="W50" s="72">
        <f>'Service Counts'!Y49</f>
        <v>2.2999999999999998</v>
      </c>
      <c r="X50" s="6">
        <f t="shared" si="49"/>
        <v>0</v>
      </c>
      <c r="Y50" s="185">
        <f t="shared" si="50"/>
        <v>0</v>
      </c>
      <c r="Z50" s="6"/>
      <c r="AA50" s="6">
        <f t="shared" si="51"/>
        <v>0</v>
      </c>
    </row>
    <row r="51" spans="1:28">
      <c r="A51" t="s">
        <v>410</v>
      </c>
      <c r="C51" s="122">
        <f>'Service Counts'!C50</f>
        <v>5691</v>
      </c>
      <c r="D51" s="72">
        <f>'Service Counts'!D50</f>
        <v>1.65</v>
      </c>
      <c r="E51" s="6">
        <f t="shared" si="39"/>
        <v>9390.15</v>
      </c>
      <c r="F51" s="122">
        <f t="shared" si="40"/>
        <v>5691</v>
      </c>
      <c r="G51" s="72">
        <f>'Service Counts'!G50</f>
        <v>1.65</v>
      </c>
      <c r="H51" s="6">
        <f t="shared" si="41"/>
        <v>9390.15</v>
      </c>
      <c r="I51" s="185">
        <f t="shared" si="42"/>
        <v>0</v>
      </c>
      <c r="K51" s="244">
        <f>'Service Counts'!L50</f>
        <v>245</v>
      </c>
      <c r="L51" s="72">
        <f>'Service Counts'!M50</f>
        <v>1.3</v>
      </c>
      <c r="M51" s="6">
        <f t="shared" si="43"/>
        <v>318.5</v>
      </c>
      <c r="N51" s="244">
        <f t="shared" si="44"/>
        <v>245</v>
      </c>
      <c r="O51" s="72">
        <f>'Service Counts'!P50</f>
        <v>1.3</v>
      </c>
      <c r="P51" s="6">
        <f t="shared" si="45"/>
        <v>318.5</v>
      </c>
      <c r="Q51" s="185">
        <f t="shared" si="46"/>
        <v>0</v>
      </c>
      <c r="S51" s="244">
        <f>'Service Counts'!U50</f>
        <v>495</v>
      </c>
      <c r="T51" s="72">
        <f>'Service Counts'!V50</f>
        <v>1.3</v>
      </c>
      <c r="U51" s="6">
        <f t="shared" si="47"/>
        <v>643.5</v>
      </c>
      <c r="V51" s="244">
        <f t="shared" si="48"/>
        <v>495</v>
      </c>
      <c r="W51" s="72">
        <f>'Service Counts'!Y50</f>
        <v>1.3</v>
      </c>
      <c r="X51" s="6">
        <f t="shared" si="49"/>
        <v>643.5</v>
      </c>
      <c r="Y51" s="185">
        <f t="shared" si="50"/>
        <v>0</v>
      </c>
      <c r="Z51" s="6"/>
      <c r="AA51" s="6">
        <f t="shared" si="51"/>
        <v>0</v>
      </c>
      <c r="AB51" s="6">
        <f>SUM(AA35:AA51)</f>
        <v>0</v>
      </c>
    </row>
    <row r="52" spans="1:28">
      <c r="C52" s="122"/>
      <c r="D52" s="184"/>
      <c r="F52" s="122"/>
      <c r="G52" s="246"/>
      <c r="I52" s="180"/>
      <c r="K52" s="244"/>
      <c r="L52" s="246"/>
      <c r="N52" s="244"/>
      <c r="O52" s="246"/>
      <c r="Q52" s="180"/>
      <c r="S52" s="244"/>
      <c r="T52" s="246"/>
      <c r="V52" s="244"/>
      <c r="W52" s="246"/>
      <c r="Y52" s="180"/>
    </row>
    <row r="53" spans="1:28">
      <c r="A53" t="s">
        <v>409</v>
      </c>
      <c r="C53" s="122"/>
      <c r="D53" s="184"/>
      <c r="F53" s="122"/>
      <c r="G53" s="246"/>
      <c r="I53" s="180"/>
      <c r="K53" s="244"/>
      <c r="L53" s="246"/>
      <c r="N53" s="244"/>
      <c r="O53" s="246"/>
      <c r="Q53" s="180"/>
      <c r="S53" s="244"/>
      <c r="T53" s="246"/>
      <c r="V53" s="244"/>
      <c r="W53" s="246"/>
      <c r="Y53" s="180"/>
    </row>
    <row r="54" spans="1:28">
      <c r="A54" t="s">
        <v>408</v>
      </c>
      <c r="C54" s="122">
        <f>'Service Counts'!C53</f>
        <v>58</v>
      </c>
      <c r="D54" s="72">
        <f>'Service Counts'!D53</f>
        <v>114.5</v>
      </c>
      <c r="E54" s="6">
        <f t="shared" ref="E54:E69" si="74">+C54*D54</f>
        <v>6641</v>
      </c>
      <c r="F54" s="122">
        <f t="shared" ref="F54:F69" si="75">+C54</f>
        <v>58</v>
      </c>
      <c r="G54" s="72">
        <f>'Service Counts'!G53</f>
        <v>114.5</v>
      </c>
      <c r="H54" s="6">
        <f t="shared" ref="H54:H69" si="76">+F54*G54</f>
        <v>6641</v>
      </c>
      <c r="I54" s="185">
        <f t="shared" ref="I54:I69" si="77">+H54-E54</f>
        <v>0</v>
      </c>
      <c r="K54" s="244">
        <f>'Service Counts'!L53</f>
        <v>0</v>
      </c>
      <c r="L54" s="72">
        <f>'Service Counts'!M53</f>
        <v>95.05</v>
      </c>
      <c r="M54" s="6">
        <f t="shared" ref="M54:M69" si="78">+K54*L54</f>
        <v>0</v>
      </c>
      <c r="N54" s="244">
        <f t="shared" ref="N54:N69" si="79">+K54</f>
        <v>0</v>
      </c>
      <c r="O54" s="72">
        <f>'Service Counts'!P53</f>
        <v>95.05</v>
      </c>
      <c r="P54" s="6">
        <f t="shared" ref="P54:P69" si="80">+N54*O54</f>
        <v>0</v>
      </c>
      <c r="Q54" s="185">
        <f t="shared" ref="Q54:Q69" si="81">+P54-M54</f>
        <v>0</v>
      </c>
      <c r="S54" s="244">
        <f>'Service Counts'!U53</f>
        <v>0</v>
      </c>
      <c r="T54" s="72">
        <f>'Service Counts'!V53</f>
        <v>95.05</v>
      </c>
      <c r="U54" s="6">
        <f t="shared" ref="U54:U69" si="82">+S54*T54</f>
        <v>0</v>
      </c>
      <c r="V54" s="244">
        <f t="shared" ref="V54:V69" si="83">+S54</f>
        <v>0</v>
      </c>
      <c r="W54" s="72">
        <f>'Service Counts'!Y53</f>
        <v>95.05</v>
      </c>
      <c r="X54" s="6">
        <f t="shared" ref="X54:X69" si="84">+V54*W54</f>
        <v>0</v>
      </c>
      <c r="Y54" s="185">
        <f t="shared" ref="Y54:Y69" si="85">+X54-U54</f>
        <v>0</v>
      </c>
      <c r="Z54" s="6"/>
      <c r="AA54" s="6">
        <f t="shared" ref="AA54:AA69" si="86">+I54+Q54+Y54</f>
        <v>0</v>
      </c>
    </row>
    <row r="55" spans="1:28">
      <c r="A55" t="s">
        <v>407</v>
      </c>
      <c r="C55" s="122">
        <f>'Service Counts'!C54</f>
        <v>75</v>
      </c>
      <c r="D55" s="72">
        <f>'Service Counts'!D54</f>
        <v>139.5</v>
      </c>
      <c r="E55" s="6">
        <f t="shared" si="74"/>
        <v>10462.5</v>
      </c>
      <c r="F55" s="122">
        <f t="shared" si="75"/>
        <v>75</v>
      </c>
      <c r="G55" s="72">
        <f>'Service Counts'!G54</f>
        <v>139.5</v>
      </c>
      <c r="H55" s="6">
        <f t="shared" si="76"/>
        <v>10462.5</v>
      </c>
      <c r="I55" s="185">
        <f t="shared" si="77"/>
        <v>0</v>
      </c>
      <c r="K55" s="244">
        <f>'Service Counts'!L54</f>
        <v>8</v>
      </c>
      <c r="L55" s="72">
        <f>'Service Counts'!M54</f>
        <v>114.95</v>
      </c>
      <c r="M55" s="6">
        <f t="shared" si="78"/>
        <v>919.6</v>
      </c>
      <c r="N55" s="244">
        <f t="shared" si="79"/>
        <v>8</v>
      </c>
      <c r="O55" s="72">
        <f>'Service Counts'!P54</f>
        <v>114.95</v>
      </c>
      <c r="P55" s="6">
        <f t="shared" si="80"/>
        <v>919.6</v>
      </c>
      <c r="Q55" s="185">
        <f t="shared" si="81"/>
        <v>0</v>
      </c>
      <c r="S55" s="244">
        <f>'Service Counts'!U54</f>
        <v>36</v>
      </c>
      <c r="T55" s="72">
        <f>'Service Counts'!V54</f>
        <v>114.95</v>
      </c>
      <c r="U55" s="6">
        <f t="shared" si="82"/>
        <v>4138.2</v>
      </c>
      <c r="V55" s="244">
        <f t="shared" si="83"/>
        <v>36</v>
      </c>
      <c r="W55" s="72">
        <f>'Service Counts'!Y54</f>
        <v>114.95</v>
      </c>
      <c r="X55" s="6">
        <f t="shared" si="84"/>
        <v>4138.2</v>
      </c>
      <c r="Y55" s="185">
        <f t="shared" si="85"/>
        <v>0</v>
      </c>
      <c r="Z55" s="6"/>
      <c r="AA55" s="6">
        <f t="shared" si="86"/>
        <v>0</v>
      </c>
    </row>
    <row r="56" spans="1:28">
      <c r="A56" t="s">
        <v>406</v>
      </c>
      <c r="C56" s="122">
        <f>'Service Counts'!C55</f>
        <v>208</v>
      </c>
      <c r="D56" s="72">
        <f>'Service Counts'!D55</f>
        <v>150.5</v>
      </c>
      <c r="E56" s="6">
        <f t="shared" si="74"/>
        <v>31304</v>
      </c>
      <c r="F56" s="122">
        <f t="shared" si="75"/>
        <v>208</v>
      </c>
      <c r="G56" s="72">
        <f>'Service Counts'!G55</f>
        <v>150.5</v>
      </c>
      <c r="H56" s="6">
        <f t="shared" si="76"/>
        <v>31304</v>
      </c>
      <c r="I56" s="185">
        <f t="shared" si="77"/>
        <v>0</v>
      </c>
      <c r="K56" s="244">
        <f>'Service Counts'!L55</f>
        <v>93</v>
      </c>
      <c r="L56" s="72">
        <f>'Service Counts'!M55</f>
        <v>124.95</v>
      </c>
      <c r="M56" s="6">
        <f t="shared" si="78"/>
        <v>11620.35</v>
      </c>
      <c r="N56" s="244">
        <f t="shared" si="79"/>
        <v>93</v>
      </c>
      <c r="O56" s="72">
        <f>'Service Counts'!P55</f>
        <v>124.95</v>
      </c>
      <c r="P56" s="6">
        <f t="shared" si="80"/>
        <v>11620.35</v>
      </c>
      <c r="Q56" s="185">
        <f t="shared" si="81"/>
        <v>0</v>
      </c>
      <c r="S56" s="244">
        <f>'Service Counts'!U55</f>
        <v>512</v>
      </c>
      <c r="T56" s="72">
        <f>'Service Counts'!V55</f>
        <v>124.95</v>
      </c>
      <c r="U56" s="6">
        <f t="shared" si="82"/>
        <v>63974.400000000001</v>
      </c>
      <c r="V56" s="244">
        <f t="shared" si="83"/>
        <v>512</v>
      </c>
      <c r="W56" s="72">
        <f>'Service Counts'!Y55</f>
        <v>124.95</v>
      </c>
      <c r="X56" s="6">
        <f t="shared" si="84"/>
        <v>63974.400000000001</v>
      </c>
      <c r="Y56" s="185">
        <f t="shared" si="85"/>
        <v>0</v>
      </c>
      <c r="Z56" s="6"/>
      <c r="AA56" s="6">
        <f t="shared" si="86"/>
        <v>0</v>
      </c>
    </row>
    <row r="57" spans="1:28">
      <c r="A57" t="s">
        <v>405</v>
      </c>
      <c r="C57" s="122">
        <f>'Service Counts'!C56</f>
        <v>0</v>
      </c>
      <c r="D57" s="72">
        <f>'Service Counts'!D56</f>
        <v>0</v>
      </c>
      <c r="E57" s="6">
        <f t="shared" si="74"/>
        <v>0</v>
      </c>
      <c r="F57" s="122">
        <f t="shared" si="75"/>
        <v>0</v>
      </c>
      <c r="G57" s="72">
        <f>'Service Counts'!G56</f>
        <v>0</v>
      </c>
      <c r="H57" s="6">
        <f t="shared" si="76"/>
        <v>0</v>
      </c>
      <c r="I57" s="185">
        <f t="shared" si="77"/>
        <v>0</v>
      </c>
      <c r="K57" s="244">
        <f>'Service Counts'!L56</f>
        <v>0</v>
      </c>
      <c r="L57" s="72">
        <f>'Service Counts'!M56</f>
        <v>0</v>
      </c>
      <c r="M57" s="6">
        <f t="shared" si="78"/>
        <v>0</v>
      </c>
      <c r="N57" s="244">
        <f t="shared" si="79"/>
        <v>0</v>
      </c>
      <c r="O57" s="72">
        <f>'Service Counts'!P56</f>
        <v>0</v>
      </c>
      <c r="P57" s="6">
        <f t="shared" si="80"/>
        <v>0</v>
      </c>
      <c r="Q57" s="185">
        <f t="shared" si="81"/>
        <v>0</v>
      </c>
      <c r="S57" s="244">
        <f>'Service Counts'!U56</f>
        <v>0</v>
      </c>
      <c r="T57" s="72">
        <f>'Service Counts'!V56</f>
        <v>0</v>
      </c>
      <c r="U57" s="6">
        <f t="shared" si="82"/>
        <v>0</v>
      </c>
      <c r="V57" s="244">
        <f t="shared" si="83"/>
        <v>0</v>
      </c>
      <c r="W57" s="72">
        <f>'Service Counts'!Y56</f>
        <v>0</v>
      </c>
      <c r="X57" s="6">
        <f t="shared" si="84"/>
        <v>0</v>
      </c>
      <c r="Y57" s="185">
        <f t="shared" si="85"/>
        <v>0</v>
      </c>
      <c r="Z57" s="6"/>
      <c r="AA57" s="6">
        <f t="shared" si="86"/>
        <v>0</v>
      </c>
    </row>
    <row r="58" spans="1:28">
      <c r="A58" t="s">
        <v>404</v>
      </c>
      <c r="C58" s="122">
        <f>'Service Counts'!C57</f>
        <v>1147</v>
      </c>
      <c r="D58" s="72">
        <f>'Service Counts'!D57</f>
        <v>3.35</v>
      </c>
      <c r="E58" s="6">
        <f t="shared" si="74"/>
        <v>3842.4500000000003</v>
      </c>
      <c r="F58" s="122">
        <f t="shared" si="75"/>
        <v>1147</v>
      </c>
      <c r="G58" s="72">
        <f>'Service Counts'!G57</f>
        <v>3.35</v>
      </c>
      <c r="H58" s="6">
        <f t="shared" si="76"/>
        <v>3842.4500000000003</v>
      </c>
      <c r="I58" s="185">
        <f t="shared" si="77"/>
        <v>0</v>
      </c>
      <c r="K58" s="244">
        <f>'Service Counts'!L57</f>
        <v>0</v>
      </c>
      <c r="L58" s="72">
        <f>'Service Counts'!M57</f>
        <v>3.05</v>
      </c>
      <c r="M58" s="6">
        <f t="shared" si="78"/>
        <v>0</v>
      </c>
      <c r="N58" s="244">
        <f t="shared" si="79"/>
        <v>0</v>
      </c>
      <c r="O58" s="72">
        <f>'Service Counts'!P57</f>
        <v>3.05</v>
      </c>
      <c r="P58" s="6">
        <f t="shared" si="80"/>
        <v>0</v>
      </c>
      <c r="Q58" s="185">
        <f t="shared" si="81"/>
        <v>0</v>
      </c>
      <c r="S58" s="244">
        <f>'Service Counts'!U57</f>
        <v>0</v>
      </c>
      <c r="T58" s="72">
        <f>'Service Counts'!V57</f>
        <v>3.05</v>
      </c>
      <c r="U58" s="6">
        <f t="shared" si="82"/>
        <v>0</v>
      </c>
      <c r="V58" s="244">
        <f t="shared" si="83"/>
        <v>0</v>
      </c>
      <c r="W58" s="72">
        <f>'Service Counts'!Y57</f>
        <v>3.05</v>
      </c>
      <c r="X58" s="6">
        <f t="shared" si="84"/>
        <v>0</v>
      </c>
      <c r="Y58" s="185">
        <f t="shared" si="85"/>
        <v>0</v>
      </c>
      <c r="Z58" s="6"/>
      <c r="AA58" s="6">
        <f t="shared" si="86"/>
        <v>0</v>
      </c>
    </row>
    <row r="59" spans="1:28">
      <c r="A59" t="s">
        <v>403</v>
      </c>
      <c r="C59" s="122">
        <f>'Service Counts'!C58</f>
        <v>2753</v>
      </c>
      <c r="D59" s="72">
        <f>'Service Counts'!D58</f>
        <v>3.85</v>
      </c>
      <c r="E59" s="6">
        <f t="shared" si="74"/>
        <v>10599.050000000001</v>
      </c>
      <c r="F59" s="122">
        <f t="shared" si="75"/>
        <v>2753</v>
      </c>
      <c r="G59" s="72">
        <f>'Service Counts'!G58</f>
        <v>3.85</v>
      </c>
      <c r="H59" s="6">
        <f t="shared" si="76"/>
        <v>10599.050000000001</v>
      </c>
      <c r="I59" s="185">
        <f t="shared" si="77"/>
        <v>0</v>
      </c>
      <c r="K59" s="244">
        <f>'Service Counts'!L58</f>
        <v>486</v>
      </c>
      <c r="L59" s="72">
        <f>'Service Counts'!M58</f>
        <v>3.55</v>
      </c>
      <c r="M59" s="6">
        <f t="shared" si="78"/>
        <v>1725.3</v>
      </c>
      <c r="N59" s="244">
        <f t="shared" si="79"/>
        <v>486</v>
      </c>
      <c r="O59" s="72">
        <f>'Service Counts'!P58</f>
        <v>3.55</v>
      </c>
      <c r="P59" s="6">
        <f t="shared" si="80"/>
        <v>1725.3</v>
      </c>
      <c r="Q59" s="185">
        <f t="shared" si="81"/>
        <v>0</v>
      </c>
      <c r="S59" s="244">
        <f>'Service Counts'!U58</f>
        <v>1165</v>
      </c>
      <c r="T59" s="72">
        <f>'Service Counts'!V58</f>
        <v>3.55</v>
      </c>
      <c r="U59" s="6">
        <f t="shared" si="82"/>
        <v>4135.75</v>
      </c>
      <c r="V59" s="244">
        <f t="shared" si="83"/>
        <v>1165</v>
      </c>
      <c r="W59" s="72">
        <f>'Service Counts'!Y58</f>
        <v>3.55</v>
      </c>
      <c r="X59" s="6">
        <f t="shared" si="84"/>
        <v>4135.75</v>
      </c>
      <c r="Y59" s="185">
        <f t="shared" si="85"/>
        <v>0</v>
      </c>
      <c r="Z59" s="6"/>
      <c r="AA59" s="6">
        <f t="shared" si="86"/>
        <v>0</v>
      </c>
    </row>
    <row r="60" spans="1:28">
      <c r="A60" t="s">
        <v>402</v>
      </c>
      <c r="C60" s="122">
        <f>'Service Counts'!C59</f>
        <v>3569</v>
      </c>
      <c r="D60" s="72">
        <f>'Service Counts'!D59</f>
        <v>4.5999999999999996</v>
      </c>
      <c r="E60" s="6">
        <f t="shared" si="74"/>
        <v>16417.399999999998</v>
      </c>
      <c r="F60" s="122">
        <f t="shared" si="75"/>
        <v>3569</v>
      </c>
      <c r="G60" s="72">
        <f>'Service Counts'!G59</f>
        <v>4.5999999999999996</v>
      </c>
      <c r="H60" s="6">
        <f t="shared" si="76"/>
        <v>16417.399999999998</v>
      </c>
      <c r="I60" s="185">
        <f t="shared" si="77"/>
        <v>0</v>
      </c>
      <c r="K60" s="244">
        <f>'Service Counts'!L59</f>
        <v>827</v>
      </c>
      <c r="L60" s="72">
        <f>'Service Counts'!M59</f>
        <v>4.2</v>
      </c>
      <c r="M60" s="6">
        <f t="shared" si="78"/>
        <v>3473.4</v>
      </c>
      <c r="N60" s="244">
        <f t="shared" si="79"/>
        <v>827</v>
      </c>
      <c r="O60" s="72">
        <f>'Service Counts'!P59</f>
        <v>4.2</v>
      </c>
      <c r="P60" s="6">
        <f t="shared" si="80"/>
        <v>3473.4</v>
      </c>
      <c r="Q60" s="185">
        <f t="shared" si="81"/>
        <v>0</v>
      </c>
      <c r="S60" s="244">
        <f>'Service Counts'!U59</f>
        <v>3021</v>
      </c>
      <c r="T60" s="72">
        <f>'Service Counts'!V59</f>
        <v>4.2</v>
      </c>
      <c r="U60" s="6">
        <f t="shared" si="82"/>
        <v>12688.2</v>
      </c>
      <c r="V60" s="244">
        <f t="shared" si="83"/>
        <v>3021</v>
      </c>
      <c r="W60" s="72">
        <f>'Service Counts'!Y59</f>
        <v>4.2</v>
      </c>
      <c r="X60" s="6">
        <f t="shared" si="84"/>
        <v>12688.2</v>
      </c>
      <c r="Y60" s="185">
        <f t="shared" si="85"/>
        <v>0</v>
      </c>
      <c r="Z60" s="6"/>
      <c r="AA60" s="6">
        <f t="shared" si="86"/>
        <v>0</v>
      </c>
    </row>
    <row r="61" spans="1:28">
      <c r="A61" t="s">
        <v>401</v>
      </c>
      <c r="C61" s="122">
        <f>'Service Counts'!C60</f>
        <v>0</v>
      </c>
      <c r="D61" s="72">
        <f>'Service Counts'!D60</f>
        <v>0</v>
      </c>
      <c r="E61" s="6">
        <f t="shared" si="74"/>
        <v>0</v>
      </c>
      <c r="F61" s="122">
        <f t="shared" si="75"/>
        <v>0</v>
      </c>
      <c r="G61" s="72">
        <f>'Service Counts'!G60</f>
        <v>0</v>
      </c>
      <c r="H61" s="6">
        <f t="shared" si="76"/>
        <v>0</v>
      </c>
      <c r="I61" s="185">
        <f t="shared" si="77"/>
        <v>0</v>
      </c>
      <c r="K61" s="244">
        <f>'Service Counts'!L60</f>
        <v>0</v>
      </c>
      <c r="L61" s="72">
        <f>'Service Counts'!M60</f>
        <v>0</v>
      </c>
      <c r="M61" s="6">
        <f t="shared" si="78"/>
        <v>0</v>
      </c>
      <c r="N61" s="244">
        <f t="shared" si="79"/>
        <v>0</v>
      </c>
      <c r="O61" s="72">
        <f>'Service Counts'!P60</f>
        <v>0</v>
      </c>
      <c r="P61" s="6">
        <f t="shared" si="80"/>
        <v>0</v>
      </c>
      <c r="Q61" s="185">
        <f t="shared" si="81"/>
        <v>0</v>
      </c>
      <c r="S61" s="244">
        <f>'Service Counts'!U60</f>
        <v>0</v>
      </c>
      <c r="T61" s="72">
        <f>'Service Counts'!V60</f>
        <v>0</v>
      </c>
      <c r="U61" s="6">
        <f t="shared" si="82"/>
        <v>0</v>
      </c>
      <c r="V61" s="244">
        <f t="shared" si="83"/>
        <v>0</v>
      </c>
      <c r="W61" s="72">
        <f>'Service Counts'!Y60</f>
        <v>0</v>
      </c>
      <c r="X61" s="6">
        <f t="shared" si="84"/>
        <v>0</v>
      </c>
      <c r="Y61" s="185">
        <f t="shared" si="85"/>
        <v>0</v>
      </c>
      <c r="Z61" s="6"/>
      <c r="AA61" s="6">
        <f t="shared" si="86"/>
        <v>0</v>
      </c>
    </row>
    <row r="62" spans="1:28">
      <c r="A62" t="s">
        <v>400</v>
      </c>
      <c r="C62" s="122">
        <f>'Service Counts'!C61</f>
        <v>32</v>
      </c>
      <c r="D62" s="72">
        <f>'Service Counts'!D61</f>
        <v>42.75</v>
      </c>
      <c r="E62" s="6">
        <f t="shared" si="74"/>
        <v>1368</v>
      </c>
      <c r="F62" s="122">
        <f t="shared" si="75"/>
        <v>32</v>
      </c>
      <c r="G62" s="72">
        <f>'Service Counts'!G61</f>
        <v>42.75</v>
      </c>
      <c r="H62" s="6">
        <f t="shared" si="76"/>
        <v>1368</v>
      </c>
      <c r="I62" s="185">
        <f t="shared" si="77"/>
        <v>0</v>
      </c>
      <c r="K62" s="244">
        <f>'Service Counts'!L61</f>
        <v>0</v>
      </c>
      <c r="L62" s="72">
        <f>'Service Counts'!M61</f>
        <v>35</v>
      </c>
      <c r="M62" s="6">
        <f t="shared" si="78"/>
        <v>0</v>
      </c>
      <c r="N62" s="244">
        <f t="shared" si="79"/>
        <v>0</v>
      </c>
      <c r="O62" s="72">
        <f>'Service Counts'!P61</f>
        <v>35</v>
      </c>
      <c r="P62" s="6">
        <f t="shared" si="80"/>
        <v>0</v>
      </c>
      <c r="Q62" s="185">
        <f t="shared" si="81"/>
        <v>0</v>
      </c>
      <c r="S62" s="244">
        <f>'Service Counts'!U61</f>
        <v>0</v>
      </c>
      <c r="T62" s="72">
        <f>'Service Counts'!V61</f>
        <v>35</v>
      </c>
      <c r="U62" s="6">
        <f t="shared" si="82"/>
        <v>0</v>
      </c>
      <c r="V62" s="244">
        <f t="shared" si="83"/>
        <v>0</v>
      </c>
      <c r="W62" s="72">
        <f>'Service Counts'!Y61</f>
        <v>35</v>
      </c>
      <c r="X62" s="6">
        <f t="shared" si="84"/>
        <v>0</v>
      </c>
      <c r="Y62" s="185">
        <f t="shared" si="85"/>
        <v>0</v>
      </c>
      <c r="Z62" s="6"/>
      <c r="AA62" s="6">
        <f t="shared" si="86"/>
        <v>0</v>
      </c>
    </row>
    <row r="63" spans="1:28">
      <c r="A63" t="s">
        <v>399</v>
      </c>
      <c r="C63" s="122">
        <f>'Service Counts'!C62</f>
        <v>26</v>
      </c>
      <c r="D63" s="72">
        <f>'Service Counts'!D62</f>
        <v>42.75</v>
      </c>
      <c r="E63" s="6">
        <f t="shared" si="74"/>
        <v>1111.5</v>
      </c>
      <c r="F63" s="122">
        <f t="shared" si="75"/>
        <v>26</v>
      </c>
      <c r="G63" s="72">
        <f>'Service Counts'!G62</f>
        <v>42.75</v>
      </c>
      <c r="H63" s="6">
        <f t="shared" si="76"/>
        <v>1111.5</v>
      </c>
      <c r="I63" s="185">
        <f t="shared" si="77"/>
        <v>0</v>
      </c>
      <c r="K63" s="244">
        <f>'Service Counts'!L62</f>
        <v>2</v>
      </c>
      <c r="L63" s="72">
        <f>'Service Counts'!M62</f>
        <v>35</v>
      </c>
      <c r="M63" s="6">
        <f t="shared" si="78"/>
        <v>70</v>
      </c>
      <c r="N63" s="244">
        <f t="shared" si="79"/>
        <v>2</v>
      </c>
      <c r="O63" s="72">
        <f>'Service Counts'!P62</f>
        <v>35</v>
      </c>
      <c r="P63" s="6">
        <f t="shared" si="80"/>
        <v>70</v>
      </c>
      <c r="Q63" s="185">
        <f t="shared" si="81"/>
        <v>0</v>
      </c>
      <c r="S63" s="244">
        <f>'Service Counts'!U62</f>
        <v>5</v>
      </c>
      <c r="T63" s="72">
        <f>'Service Counts'!V62</f>
        <v>35</v>
      </c>
      <c r="U63" s="6">
        <f t="shared" si="82"/>
        <v>175</v>
      </c>
      <c r="V63" s="244">
        <f t="shared" si="83"/>
        <v>5</v>
      </c>
      <c r="W63" s="72">
        <f>'Service Counts'!Y62</f>
        <v>35</v>
      </c>
      <c r="X63" s="6">
        <f t="shared" si="84"/>
        <v>175</v>
      </c>
      <c r="Y63" s="185">
        <f t="shared" si="85"/>
        <v>0</v>
      </c>
      <c r="Z63" s="6"/>
      <c r="AA63" s="6">
        <f t="shared" si="86"/>
        <v>0</v>
      </c>
    </row>
    <row r="64" spans="1:28">
      <c r="A64" t="s">
        <v>398</v>
      </c>
      <c r="C64" s="122">
        <f>'Service Counts'!C63</f>
        <v>42</v>
      </c>
      <c r="D64" s="72">
        <f>'Service Counts'!D63</f>
        <v>42.75</v>
      </c>
      <c r="E64" s="6">
        <f t="shared" si="74"/>
        <v>1795.5</v>
      </c>
      <c r="F64" s="122">
        <f t="shared" si="75"/>
        <v>42</v>
      </c>
      <c r="G64" s="72">
        <f>'Service Counts'!G63</f>
        <v>42.75</v>
      </c>
      <c r="H64" s="6">
        <f t="shared" si="76"/>
        <v>1795.5</v>
      </c>
      <c r="I64" s="185">
        <f t="shared" si="77"/>
        <v>0</v>
      </c>
      <c r="K64" s="244">
        <f>'Service Counts'!L63</f>
        <v>8</v>
      </c>
      <c r="L64" s="72">
        <f>'Service Counts'!M63</f>
        <v>35</v>
      </c>
      <c r="M64" s="6">
        <f t="shared" si="78"/>
        <v>280</v>
      </c>
      <c r="N64" s="244">
        <f t="shared" si="79"/>
        <v>8</v>
      </c>
      <c r="O64" s="72">
        <f>'Service Counts'!P63</f>
        <v>35</v>
      </c>
      <c r="P64" s="6">
        <f t="shared" si="80"/>
        <v>280</v>
      </c>
      <c r="Q64" s="185">
        <f t="shared" si="81"/>
        <v>0</v>
      </c>
      <c r="S64" s="244">
        <f>'Service Counts'!U63</f>
        <v>3</v>
      </c>
      <c r="T64" s="72">
        <f>'Service Counts'!V63</f>
        <v>35</v>
      </c>
      <c r="U64" s="6">
        <f t="shared" si="82"/>
        <v>105</v>
      </c>
      <c r="V64" s="244">
        <f t="shared" si="83"/>
        <v>3</v>
      </c>
      <c r="W64" s="72">
        <f>'Service Counts'!Y63</f>
        <v>35</v>
      </c>
      <c r="X64" s="6">
        <f t="shared" si="84"/>
        <v>105</v>
      </c>
      <c r="Y64" s="185">
        <f t="shared" si="85"/>
        <v>0</v>
      </c>
      <c r="Z64" s="6"/>
      <c r="AA64" s="6">
        <f t="shared" si="86"/>
        <v>0</v>
      </c>
    </row>
    <row r="65" spans="1:29">
      <c r="A65" t="s">
        <v>397</v>
      </c>
      <c r="C65" s="122">
        <f>'Service Counts'!C64</f>
        <v>0</v>
      </c>
      <c r="D65" s="72">
        <f>'Service Counts'!D64</f>
        <v>0</v>
      </c>
      <c r="E65" s="6">
        <f t="shared" si="74"/>
        <v>0</v>
      </c>
      <c r="F65" s="122">
        <f t="shared" si="75"/>
        <v>0</v>
      </c>
      <c r="G65" s="72">
        <f>'Service Counts'!G64</f>
        <v>0</v>
      </c>
      <c r="H65" s="6">
        <f t="shared" si="76"/>
        <v>0</v>
      </c>
      <c r="I65" s="185">
        <f t="shared" si="77"/>
        <v>0</v>
      </c>
      <c r="K65" s="244">
        <f>'Service Counts'!L64</f>
        <v>0</v>
      </c>
      <c r="L65" s="72">
        <f>'Service Counts'!M64</f>
        <v>0</v>
      </c>
      <c r="M65" s="6">
        <f t="shared" si="78"/>
        <v>0</v>
      </c>
      <c r="N65" s="244">
        <f t="shared" si="79"/>
        <v>0</v>
      </c>
      <c r="O65" s="72">
        <f>'Service Counts'!P64</f>
        <v>0</v>
      </c>
      <c r="P65" s="6">
        <f t="shared" si="80"/>
        <v>0</v>
      </c>
      <c r="Q65" s="185">
        <f t="shared" si="81"/>
        <v>0</v>
      </c>
      <c r="S65" s="244">
        <f>'Service Counts'!U64</f>
        <v>0</v>
      </c>
      <c r="T65" s="72">
        <f>'Service Counts'!V64</f>
        <v>0</v>
      </c>
      <c r="U65" s="6">
        <f t="shared" si="82"/>
        <v>0</v>
      </c>
      <c r="V65" s="244">
        <f t="shared" si="83"/>
        <v>0</v>
      </c>
      <c r="W65" s="72">
        <f>'Service Counts'!Y64</f>
        <v>0</v>
      </c>
      <c r="X65" s="6">
        <f t="shared" si="84"/>
        <v>0</v>
      </c>
      <c r="Y65" s="185">
        <f t="shared" si="85"/>
        <v>0</v>
      </c>
      <c r="Z65" s="6"/>
      <c r="AA65" s="6">
        <f t="shared" si="86"/>
        <v>0</v>
      </c>
    </row>
    <row r="66" spans="1:29">
      <c r="A66" t="s">
        <v>396</v>
      </c>
      <c r="C66" s="122">
        <f>'Service Counts'!C65</f>
        <v>255</v>
      </c>
      <c r="D66" s="72">
        <f>'Service Counts'!D65</f>
        <v>2.4500000000000002</v>
      </c>
      <c r="E66" s="6">
        <f t="shared" si="74"/>
        <v>624.75</v>
      </c>
      <c r="F66" s="122">
        <f t="shared" si="75"/>
        <v>255</v>
      </c>
      <c r="G66" s="72">
        <f>'Service Counts'!G65</f>
        <v>2.4500000000000002</v>
      </c>
      <c r="H66" s="6">
        <f t="shared" si="76"/>
        <v>624.75</v>
      </c>
      <c r="I66" s="185">
        <f t="shared" si="77"/>
        <v>0</v>
      </c>
      <c r="K66" s="244">
        <f>'Service Counts'!L65</f>
        <v>3670</v>
      </c>
      <c r="L66" s="72">
        <f>'Service Counts'!M65</f>
        <v>2.2000000000000002</v>
      </c>
      <c r="M66" s="6">
        <f t="shared" si="78"/>
        <v>8074.0000000000009</v>
      </c>
      <c r="N66" s="244">
        <f t="shared" si="79"/>
        <v>3670</v>
      </c>
      <c r="O66" s="72">
        <f>'Service Counts'!P65</f>
        <v>2.2000000000000002</v>
      </c>
      <c r="P66" s="6">
        <f t="shared" si="80"/>
        <v>8074.0000000000009</v>
      </c>
      <c r="Q66" s="185">
        <f t="shared" si="81"/>
        <v>0</v>
      </c>
      <c r="S66" s="244">
        <f>'Service Counts'!U65</f>
        <v>11315</v>
      </c>
      <c r="T66" s="72">
        <f>'Service Counts'!V65</f>
        <v>2.2000000000000002</v>
      </c>
      <c r="U66" s="6">
        <f t="shared" si="82"/>
        <v>24893.000000000004</v>
      </c>
      <c r="V66" s="244">
        <f t="shared" si="83"/>
        <v>11315</v>
      </c>
      <c r="W66" s="72">
        <f>'Service Counts'!Y65</f>
        <v>2.2000000000000002</v>
      </c>
      <c r="X66" s="6">
        <f t="shared" si="84"/>
        <v>24893.000000000004</v>
      </c>
      <c r="Y66" s="185">
        <f t="shared" si="85"/>
        <v>0</v>
      </c>
      <c r="Z66" s="6"/>
      <c r="AA66" s="6">
        <f t="shared" si="86"/>
        <v>0</v>
      </c>
    </row>
    <row r="67" spans="1:29">
      <c r="A67" t="s">
        <v>395</v>
      </c>
      <c r="C67" s="122">
        <f>'Service Counts'!C66</f>
        <v>27</v>
      </c>
      <c r="D67" s="72">
        <f>'Service Counts'!D66</f>
        <v>30.9</v>
      </c>
      <c r="E67" s="6">
        <f t="shared" si="74"/>
        <v>834.3</v>
      </c>
      <c r="F67" s="122">
        <f t="shared" si="75"/>
        <v>27</v>
      </c>
      <c r="G67" s="72">
        <f>'Service Counts'!G66</f>
        <v>30.9</v>
      </c>
      <c r="H67" s="6">
        <f t="shared" si="76"/>
        <v>834.3</v>
      </c>
      <c r="I67" s="185">
        <f t="shared" si="77"/>
        <v>0</v>
      </c>
      <c r="K67" s="244">
        <f>'Service Counts'!L66</f>
        <v>0</v>
      </c>
      <c r="L67" s="72">
        <f>'Service Counts'!M66</f>
        <v>0</v>
      </c>
      <c r="M67" s="6">
        <f t="shared" si="78"/>
        <v>0</v>
      </c>
      <c r="N67" s="244">
        <f t="shared" si="79"/>
        <v>0</v>
      </c>
      <c r="O67" s="72">
        <f>'Service Counts'!P66</f>
        <v>0</v>
      </c>
      <c r="P67" s="6">
        <f t="shared" si="80"/>
        <v>0</v>
      </c>
      <c r="Q67" s="185">
        <f t="shared" si="81"/>
        <v>0</v>
      </c>
      <c r="S67" s="244">
        <f>'Service Counts'!U66</f>
        <v>0</v>
      </c>
      <c r="T67" s="72">
        <f>'Service Counts'!V66</f>
        <v>0</v>
      </c>
      <c r="U67" s="6">
        <f t="shared" si="82"/>
        <v>0</v>
      </c>
      <c r="V67" s="244">
        <f t="shared" si="83"/>
        <v>0</v>
      </c>
      <c r="W67" s="72">
        <f>'Service Counts'!Y66</f>
        <v>0</v>
      </c>
      <c r="X67" s="6">
        <f t="shared" si="84"/>
        <v>0</v>
      </c>
      <c r="Y67" s="185">
        <f t="shared" si="85"/>
        <v>0</v>
      </c>
      <c r="Z67" s="6"/>
      <c r="AA67" s="6">
        <f t="shared" si="86"/>
        <v>0</v>
      </c>
      <c r="AB67" s="6"/>
    </row>
    <row r="68" spans="1:29">
      <c r="A68" t="s">
        <v>394</v>
      </c>
      <c r="C68" s="122">
        <f>'Service Counts'!C67</f>
        <v>0</v>
      </c>
      <c r="D68" s="72">
        <f>'Service Counts'!D67</f>
        <v>177.5</v>
      </c>
      <c r="E68" s="6">
        <f t="shared" si="74"/>
        <v>0</v>
      </c>
      <c r="F68" s="122">
        <f t="shared" si="75"/>
        <v>0</v>
      </c>
      <c r="G68" s="72">
        <f>'Service Counts'!G67</f>
        <v>177.5</v>
      </c>
      <c r="H68" s="6">
        <f t="shared" si="76"/>
        <v>0</v>
      </c>
      <c r="I68" s="185">
        <f t="shared" si="77"/>
        <v>0</v>
      </c>
      <c r="K68" s="244">
        <f>'Service Counts'!L67</f>
        <v>0</v>
      </c>
      <c r="L68" s="72">
        <f>'Service Counts'!M67</f>
        <v>0</v>
      </c>
      <c r="M68" s="6">
        <f t="shared" si="78"/>
        <v>0</v>
      </c>
      <c r="N68" s="244">
        <f t="shared" si="79"/>
        <v>0</v>
      </c>
      <c r="O68" s="72">
        <f>'Service Counts'!P67</f>
        <v>0</v>
      </c>
      <c r="P68" s="6">
        <f t="shared" si="80"/>
        <v>0</v>
      </c>
      <c r="Q68" s="185">
        <f t="shared" si="81"/>
        <v>0</v>
      </c>
      <c r="S68" s="244">
        <f>'Service Counts'!U67</f>
        <v>0</v>
      </c>
      <c r="T68" s="72">
        <f>'Service Counts'!V67</f>
        <v>0</v>
      </c>
      <c r="U68" s="6">
        <f t="shared" si="82"/>
        <v>0</v>
      </c>
      <c r="V68" s="244">
        <f t="shared" si="83"/>
        <v>0</v>
      </c>
      <c r="W68" s="72">
        <f>'Service Counts'!Y67</f>
        <v>0</v>
      </c>
      <c r="X68" s="6">
        <f t="shared" si="84"/>
        <v>0</v>
      </c>
      <c r="Y68" s="185">
        <f t="shared" si="85"/>
        <v>0</v>
      </c>
      <c r="Z68" s="6"/>
      <c r="AA68" s="6">
        <f t="shared" si="86"/>
        <v>0</v>
      </c>
      <c r="AB68" s="6"/>
    </row>
    <row r="69" spans="1:29">
      <c r="A69" t="s">
        <v>393</v>
      </c>
      <c r="C69" s="122">
        <f>'Service Counts'!C68</f>
        <v>90</v>
      </c>
      <c r="D69" s="72">
        <f>'Service Counts'!D68</f>
        <v>215.5</v>
      </c>
      <c r="E69" s="6">
        <f t="shared" si="74"/>
        <v>19395</v>
      </c>
      <c r="F69" s="122">
        <f t="shared" si="75"/>
        <v>90</v>
      </c>
      <c r="G69" s="72">
        <f>'Service Counts'!G68</f>
        <v>215.5</v>
      </c>
      <c r="H69" s="6">
        <f t="shared" si="76"/>
        <v>19395</v>
      </c>
      <c r="I69" s="185">
        <f t="shared" si="77"/>
        <v>0</v>
      </c>
      <c r="K69" s="244">
        <f>'Service Counts'!L68</f>
        <v>0</v>
      </c>
      <c r="L69" s="72">
        <f>'Service Counts'!M68</f>
        <v>0</v>
      </c>
      <c r="M69" s="6">
        <f t="shared" si="78"/>
        <v>0</v>
      </c>
      <c r="N69" s="244">
        <f t="shared" si="79"/>
        <v>0</v>
      </c>
      <c r="O69" s="72">
        <f>'Service Counts'!P68</f>
        <v>0</v>
      </c>
      <c r="P69" s="6">
        <f t="shared" si="80"/>
        <v>0</v>
      </c>
      <c r="Q69" s="185">
        <f t="shared" si="81"/>
        <v>0</v>
      </c>
      <c r="S69" s="244">
        <f>'Service Counts'!U68</f>
        <v>0</v>
      </c>
      <c r="T69" s="72">
        <f>'Service Counts'!V68</f>
        <v>0</v>
      </c>
      <c r="U69" s="6">
        <f t="shared" si="82"/>
        <v>0</v>
      </c>
      <c r="V69" s="244">
        <f t="shared" si="83"/>
        <v>0</v>
      </c>
      <c r="W69" s="72">
        <f>'Service Counts'!Y68</f>
        <v>0</v>
      </c>
      <c r="X69" s="6">
        <f t="shared" si="84"/>
        <v>0</v>
      </c>
      <c r="Y69" s="185">
        <f t="shared" si="85"/>
        <v>0</v>
      </c>
      <c r="Z69" s="6"/>
      <c r="AA69" s="6">
        <f t="shared" si="86"/>
        <v>0</v>
      </c>
      <c r="AB69" s="6">
        <f>SUM(AA54:AA69)</f>
        <v>0</v>
      </c>
    </row>
    <row r="70" spans="1:29">
      <c r="C70" s="122"/>
      <c r="D70" s="184"/>
      <c r="F70" s="122"/>
      <c r="G70" s="246"/>
      <c r="I70" s="180"/>
      <c r="K70" s="122"/>
      <c r="L70" s="246"/>
      <c r="N70" s="244"/>
      <c r="O70" s="184"/>
      <c r="Q70" s="180"/>
      <c r="S70" s="244"/>
      <c r="T70" s="184"/>
      <c r="V70" s="244"/>
      <c r="W70" s="184"/>
      <c r="Y70" s="180"/>
    </row>
    <row r="71" spans="1:29">
      <c r="A71" t="s">
        <v>392</v>
      </c>
      <c r="C71" s="122"/>
      <c r="D71" s="184"/>
      <c r="F71" s="122"/>
      <c r="G71" s="246"/>
      <c r="I71" s="180"/>
      <c r="K71" s="122"/>
      <c r="L71" s="246"/>
      <c r="N71" s="244"/>
      <c r="O71" s="184"/>
      <c r="Q71" s="180"/>
      <c r="S71" s="244"/>
      <c r="T71" s="184"/>
      <c r="V71" s="244"/>
      <c r="W71" s="184"/>
      <c r="Y71" s="180"/>
    </row>
    <row r="72" spans="1:29">
      <c r="A72" t="s">
        <v>391</v>
      </c>
      <c r="C72" s="122"/>
      <c r="D72" s="184"/>
      <c r="F72" s="122"/>
      <c r="G72" s="242"/>
      <c r="I72" s="180"/>
      <c r="K72" s="122"/>
      <c r="L72" s="245"/>
      <c r="N72" s="244"/>
      <c r="O72" s="184"/>
      <c r="Q72" s="180"/>
      <c r="S72" s="244"/>
      <c r="T72" s="184"/>
      <c r="V72" s="244"/>
      <c r="W72" s="184"/>
      <c r="Y72" s="180"/>
    </row>
    <row r="73" spans="1:29">
      <c r="A73" t="s">
        <v>390</v>
      </c>
      <c r="C73" s="122">
        <f>'Service Counts'!C72</f>
        <v>29.5</v>
      </c>
      <c r="D73" s="72">
        <f>'Service Counts'!D72</f>
        <v>138</v>
      </c>
      <c r="E73" s="6">
        <f>+C73*D73</f>
        <v>4071</v>
      </c>
      <c r="F73" s="122">
        <f>+C73</f>
        <v>29.5</v>
      </c>
      <c r="G73" s="72">
        <f>'Service Counts'!G72</f>
        <v>138</v>
      </c>
      <c r="H73" s="6">
        <f>+F73*G73</f>
        <v>4071</v>
      </c>
      <c r="I73" s="185">
        <f>+H73-E73</f>
        <v>0</v>
      </c>
      <c r="K73" s="244">
        <f>'Service Counts'!L72</f>
        <v>1</v>
      </c>
      <c r="L73" s="72">
        <f>'Service Counts'!M72</f>
        <v>129</v>
      </c>
      <c r="M73" s="6">
        <f>+K73*L73</f>
        <v>129</v>
      </c>
      <c r="N73" s="244">
        <f>+K73</f>
        <v>1</v>
      </c>
      <c r="O73" s="72">
        <f>'Service Counts'!P72</f>
        <v>129</v>
      </c>
      <c r="P73" s="6">
        <f>+N73*O73</f>
        <v>129</v>
      </c>
      <c r="Q73" s="185">
        <f>+P73-M73</f>
        <v>0</v>
      </c>
      <c r="S73" s="244">
        <f>'Service Counts'!U72</f>
        <v>0</v>
      </c>
      <c r="T73" s="72">
        <f>'Service Counts'!V72</f>
        <v>129</v>
      </c>
      <c r="U73" s="6">
        <f>+S73*T73</f>
        <v>0</v>
      </c>
      <c r="V73" s="244">
        <f>+S73</f>
        <v>0</v>
      </c>
      <c r="W73" s="72">
        <f>'Service Counts'!Y72</f>
        <v>129</v>
      </c>
      <c r="X73" s="6">
        <f>+V73*W73</f>
        <v>0</v>
      </c>
      <c r="Y73" s="185">
        <f>+X73-U73</f>
        <v>0</v>
      </c>
      <c r="Z73" s="6"/>
      <c r="AA73" s="6">
        <f>+I73+Q73+Y73</f>
        <v>0</v>
      </c>
    </row>
    <row r="74" spans="1:29" ht="13.5" thickBot="1">
      <c r="A74" t="s">
        <v>389</v>
      </c>
      <c r="C74" s="122">
        <f>'Service Counts'!C73</f>
        <v>0.5</v>
      </c>
      <c r="D74" s="72">
        <f>'Service Counts'!D73</f>
        <v>35</v>
      </c>
      <c r="E74" s="7">
        <f>+C74*D74</f>
        <v>17.5</v>
      </c>
      <c r="F74" s="174">
        <f>+C74</f>
        <v>0.5</v>
      </c>
      <c r="G74" s="72">
        <f>'Service Counts'!G73</f>
        <v>35</v>
      </c>
      <c r="H74" s="7">
        <f>+F74*G74</f>
        <v>17.5</v>
      </c>
      <c r="I74" s="182">
        <f>+H74-E74</f>
        <v>0</v>
      </c>
      <c r="K74" s="244">
        <f>'Service Counts'!L73</f>
        <v>0</v>
      </c>
      <c r="L74" s="72">
        <f>'Service Counts'!M73</f>
        <v>32</v>
      </c>
      <c r="M74" s="7">
        <f>+K74*L74</f>
        <v>0</v>
      </c>
      <c r="N74" s="243">
        <f>+K74</f>
        <v>0</v>
      </c>
      <c r="O74" s="72">
        <f>'Service Counts'!P73</f>
        <v>32</v>
      </c>
      <c r="P74" s="7">
        <f>+N74*O74</f>
        <v>0</v>
      </c>
      <c r="Q74" s="182">
        <f>+P74-M74</f>
        <v>0</v>
      </c>
      <c r="S74" s="244">
        <f>'Service Counts'!U73</f>
        <v>0</v>
      </c>
      <c r="T74" s="72">
        <f>'Service Counts'!V73</f>
        <v>32</v>
      </c>
      <c r="U74" s="7">
        <f>+S74*T74</f>
        <v>0</v>
      </c>
      <c r="V74" s="243">
        <f>+S74</f>
        <v>0</v>
      </c>
      <c r="W74" s="72">
        <f>'Service Counts'!Y73</f>
        <v>32</v>
      </c>
      <c r="X74" s="7">
        <f>+V74*W74</f>
        <v>0</v>
      </c>
      <c r="Y74" s="182">
        <f>+X74-U74</f>
        <v>0</v>
      </c>
      <c r="Z74" s="82"/>
      <c r="AA74" s="7">
        <f>+I74+Q74+Y74</f>
        <v>0</v>
      </c>
      <c r="AB74" s="7">
        <f>SUM(AA73:AA74)</f>
        <v>0</v>
      </c>
    </row>
    <row r="75" spans="1:29">
      <c r="C75" s="122"/>
      <c r="D75" s="56"/>
      <c r="F75" s="122"/>
      <c r="G75" s="56"/>
      <c r="I75" s="134"/>
      <c r="K75" s="122"/>
      <c r="L75" s="56"/>
      <c r="N75" s="122"/>
      <c r="O75" s="56"/>
      <c r="Q75" s="134"/>
      <c r="S75" s="122"/>
      <c r="T75" s="56"/>
      <c r="V75" s="122"/>
      <c r="W75" s="56"/>
      <c r="Y75" s="134"/>
      <c r="Z75" s="18"/>
    </row>
    <row r="76" spans="1:29">
      <c r="C76" s="122">
        <f>SUM(C11:C74)</f>
        <v>70946.2</v>
      </c>
      <c r="D76" s="56"/>
      <c r="E76" s="63">
        <f>SUM(E11:E74)</f>
        <v>1668076.8349999997</v>
      </c>
      <c r="F76" s="122">
        <f>SUM(F11:F74)</f>
        <v>70946.2</v>
      </c>
      <c r="G76" s="56"/>
      <c r="H76" s="63">
        <f>SUM(H11:H74)</f>
        <v>1668076.8349999997</v>
      </c>
      <c r="I76" s="189">
        <f>SUM(I11:I74)</f>
        <v>0</v>
      </c>
      <c r="K76" s="122">
        <f>SUM(K11:K74)</f>
        <v>10062.15</v>
      </c>
      <c r="L76" s="56"/>
      <c r="M76" s="63">
        <f>SUM(M11:M74)</f>
        <v>141798.30000000002</v>
      </c>
      <c r="N76" s="122">
        <f>SUM(N11:N74)</f>
        <v>10062.15</v>
      </c>
      <c r="O76" s="56"/>
      <c r="P76" s="63">
        <f>SUM(P11:P74)</f>
        <v>141798.30000000002</v>
      </c>
      <c r="Q76" s="189">
        <f>SUM(Q11:Q74)</f>
        <v>0</v>
      </c>
      <c r="R76">
        <v>0</v>
      </c>
      <c r="S76" s="122">
        <f>SUM(S11:S74)</f>
        <v>26927.033833718244</v>
      </c>
      <c r="T76" s="56"/>
      <c r="U76" s="63">
        <f>SUM(U11:U74)</f>
        <v>446637.57365473447</v>
      </c>
      <c r="V76" s="122">
        <f>SUM(V11:V74)</f>
        <v>26927.033833718244</v>
      </c>
      <c r="W76" s="56"/>
      <c r="X76" s="63">
        <f>SUM(X11:X74)</f>
        <v>446637.57365473447</v>
      </c>
      <c r="Y76" s="189">
        <f>SUM(Y11:Y74)</f>
        <v>0</v>
      </c>
      <c r="Z76" s="63"/>
      <c r="AA76" s="63"/>
      <c r="AB76" s="63">
        <f>SUM(AB11:AB74)</f>
        <v>0</v>
      </c>
    </row>
    <row r="77" spans="1:29">
      <c r="C77" s="122"/>
      <c r="D77" s="56"/>
      <c r="F77" s="122"/>
      <c r="G77" s="56"/>
      <c r="I77" s="180"/>
      <c r="K77" s="122"/>
      <c r="L77" s="56"/>
      <c r="N77" s="122"/>
      <c r="O77" s="56"/>
      <c r="Q77" s="180"/>
      <c r="S77" s="122"/>
      <c r="T77" s="56"/>
      <c r="V77" s="122"/>
      <c r="W77" s="56"/>
      <c r="Y77" s="180"/>
    </row>
    <row r="78" spans="1:29">
      <c r="D78" s="56"/>
      <c r="E78" s="10"/>
      <c r="F78" s="122"/>
      <c r="G78" s="56" t="s">
        <v>302</v>
      </c>
      <c r="H78" s="10"/>
      <c r="I78" s="178">
        <f>SUM(I11:I51)+(I73+I74)</f>
        <v>0</v>
      </c>
      <c r="J78" s="10"/>
      <c r="L78" s="56"/>
      <c r="M78" s="10"/>
      <c r="O78" s="56" t="s">
        <v>302</v>
      </c>
      <c r="P78" s="10"/>
      <c r="Q78" s="178">
        <f>SUM(Q11:Q51)+(Q73+Q74)</f>
        <v>0</v>
      </c>
      <c r="R78" s="10"/>
      <c r="T78" s="56"/>
      <c r="U78" s="10"/>
      <c r="W78" s="56" t="s">
        <v>302</v>
      </c>
      <c r="X78" s="10"/>
      <c r="Y78" s="178">
        <f>SUM(Y11:Y51)+(Y73+Y74)</f>
        <v>0</v>
      </c>
      <c r="Z78" s="56" t="s">
        <v>302</v>
      </c>
      <c r="AA78" s="10"/>
      <c r="AB78" s="178">
        <f>SUM(AB11:AB51)+(AB73+AB74)</f>
        <v>0</v>
      </c>
      <c r="AC78" s="18"/>
    </row>
    <row r="79" spans="1:29">
      <c r="D79" s="56"/>
      <c r="E79" s="10"/>
      <c r="F79" s="122"/>
      <c r="G79" s="56" t="s">
        <v>305</v>
      </c>
      <c r="H79" s="10"/>
      <c r="I79" s="185">
        <f>SUM(I54:I69)</f>
        <v>0</v>
      </c>
      <c r="J79" s="10"/>
      <c r="L79" s="56"/>
      <c r="M79" s="10"/>
      <c r="O79" s="56" t="s">
        <v>305</v>
      </c>
      <c r="P79" s="10"/>
      <c r="Q79" s="185">
        <f>SUM(Q54:Q69)</f>
        <v>0</v>
      </c>
      <c r="R79" s="10"/>
      <c r="T79" s="56"/>
      <c r="U79" s="10"/>
      <c r="W79" s="56" t="s">
        <v>305</v>
      </c>
      <c r="X79" s="10"/>
      <c r="Y79" s="185">
        <f>SUM(Y54:Y69)</f>
        <v>0</v>
      </c>
      <c r="Z79" s="56" t="s">
        <v>305</v>
      </c>
      <c r="AA79" s="10"/>
      <c r="AB79" s="185">
        <f>SUM(AB54:AB69)</f>
        <v>0</v>
      </c>
      <c r="AC79" s="18"/>
    </row>
    <row r="80" spans="1:29">
      <c r="D80" s="56"/>
      <c r="F80" s="122"/>
      <c r="G80" s="56"/>
      <c r="I80" s="180"/>
      <c r="L80" s="56"/>
      <c r="O80" s="56"/>
      <c r="Q80" s="180"/>
      <c r="T80" s="56"/>
      <c r="W80" s="56"/>
      <c r="Y80" s="180"/>
      <c r="AA80" s="18"/>
      <c r="AB80" s="18"/>
      <c r="AC80" s="18"/>
    </row>
    <row r="81" spans="1:29">
      <c r="D81" s="56"/>
      <c r="F81" s="122"/>
      <c r="G81" s="56"/>
      <c r="I81" s="180"/>
      <c r="L81" s="56"/>
      <c r="O81" s="56"/>
      <c r="Q81" s="180"/>
      <c r="T81" s="56"/>
      <c r="W81" s="56"/>
      <c r="Y81" s="180"/>
      <c r="AA81" s="82"/>
      <c r="AB81" s="18"/>
      <c r="AC81" s="18"/>
    </row>
    <row r="82" spans="1:29">
      <c r="D82" s="56"/>
      <c r="F82" s="122"/>
      <c r="I82" s="180"/>
      <c r="Q82" s="180"/>
      <c r="Y82" s="180"/>
      <c r="AA82" s="82"/>
      <c r="AB82" s="18"/>
      <c r="AC82" s="18"/>
    </row>
    <row r="83" spans="1:29">
      <c r="D83" s="56"/>
      <c r="F83" s="122"/>
      <c r="I83" s="180"/>
      <c r="Q83" s="180"/>
      <c r="Y83" s="180"/>
      <c r="AA83" s="82"/>
      <c r="AB83" s="82"/>
      <c r="AC83" s="18"/>
    </row>
    <row r="84" spans="1:29">
      <c r="F84" s="122"/>
      <c r="I84" s="180"/>
      <c r="Q84" s="180"/>
      <c r="Y84" s="180"/>
      <c r="AA84" s="18"/>
      <c r="AB84" s="239"/>
      <c r="AC84" s="170"/>
    </row>
    <row r="85" spans="1:29">
      <c r="F85" s="122"/>
      <c r="I85" s="180"/>
      <c r="Q85" s="180"/>
      <c r="Y85" s="180"/>
      <c r="AA85" s="18"/>
      <c r="AB85" s="18"/>
      <c r="AC85" s="18"/>
    </row>
    <row r="86" spans="1:29">
      <c r="F86" s="122"/>
      <c r="I86" s="180"/>
      <c r="Q86" s="180"/>
      <c r="Y86" s="180"/>
      <c r="AA86" s="18"/>
      <c r="AB86" s="18"/>
      <c r="AC86" s="18"/>
    </row>
    <row r="87" spans="1:29">
      <c r="A87" t="s">
        <v>524</v>
      </c>
      <c r="C87" s="122"/>
      <c r="F87" s="122"/>
      <c r="G87" s="56"/>
      <c r="I87" s="180"/>
      <c r="K87" s="122"/>
      <c r="L87" s="56"/>
      <c r="N87" s="122"/>
      <c r="O87" s="56"/>
      <c r="Q87" s="180"/>
      <c r="S87" s="122"/>
      <c r="T87" s="56"/>
      <c r="V87" s="122"/>
      <c r="W87" s="56"/>
      <c r="Y87" s="180"/>
      <c r="AA87" s="2"/>
    </row>
    <row r="88" spans="1:29">
      <c r="A88" t="s">
        <v>523</v>
      </c>
      <c r="C88" s="122">
        <f>'Service Count Data'!X238</f>
        <v>2403</v>
      </c>
      <c r="D88" s="241">
        <v>35.97</v>
      </c>
      <c r="E88" s="6">
        <f>+C88*D88</f>
        <v>86435.91</v>
      </c>
      <c r="F88" s="122">
        <f>+C88</f>
        <v>2403</v>
      </c>
      <c r="G88" s="184">
        <v>35.97</v>
      </c>
      <c r="H88" s="6">
        <f>+F88*G88</f>
        <v>86435.91</v>
      </c>
      <c r="I88" s="185">
        <f>+H88-E88</f>
        <v>0</v>
      </c>
      <c r="K88" s="122">
        <f>'Service Count Data'!X239</f>
        <v>0</v>
      </c>
      <c r="L88" s="184">
        <v>40.700000000000003</v>
      </c>
      <c r="M88" s="6">
        <f>+K88*L88</f>
        <v>0</v>
      </c>
      <c r="N88" s="6">
        <f>+K88</f>
        <v>0</v>
      </c>
      <c r="O88" s="184">
        <v>40.700000000000003</v>
      </c>
      <c r="P88" s="6">
        <f>+N88*O88</f>
        <v>0</v>
      </c>
      <c r="Q88" s="185">
        <f>+P88-M88</f>
        <v>0</v>
      </c>
      <c r="S88" s="122">
        <f>'Service Count Data'!X240</f>
        <v>0</v>
      </c>
      <c r="T88" s="184">
        <v>40.700000000000003</v>
      </c>
      <c r="U88" s="6">
        <f>+S88*T88</f>
        <v>0</v>
      </c>
      <c r="V88" s="6">
        <f>+S88</f>
        <v>0</v>
      </c>
      <c r="W88" s="184">
        <v>40.700000000000003</v>
      </c>
      <c r="X88" s="6">
        <f>+V88*W88</f>
        <v>0</v>
      </c>
      <c r="Y88" s="185">
        <f>+X88-U88</f>
        <v>0</v>
      </c>
      <c r="Z88" s="6"/>
      <c r="AA88" s="6">
        <f>+I88+Q88+Y88</f>
        <v>0</v>
      </c>
    </row>
    <row r="89" spans="1:29">
      <c r="A89" t="s">
        <v>522</v>
      </c>
      <c r="C89" s="122">
        <f>'Service Count Data'!X244</f>
        <v>7197</v>
      </c>
      <c r="D89" s="241">
        <v>21.32</v>
      </c>
      <c r="E89" s="6">
        <f>+C89*D89</f>
        <v>153440.04</v>
      </c>
      <c r="F89" s="122">
        <f>+C89</f>
        <v>7197</v>
      </c>
      <c r="G89" s="184">
        <v>21.32</v>
      </c>
      <c r="H89" s="6">
        <f>+F89*G89</f>
        <v>153440.04</v>
      </c>
      <c r="I89" s="185">
        <f>+H89-E89</f>
        <v>0</v>
      </c>
      <c r="K89" s="122">
        <f>'Service Count Data'!X245</f>
        <v>0</v>
      </c>
      <c r="L89" s="184">
        <v>16.28</v>
      </c>
      <c r="M89" s="6">
        <f>+K89*L89</f>
        <v>0</v>
      </c>
      <c r="N89" s="6">
        <f>+K89</f>
        <v>0</v>
      </c>
      <c r="O89" s="184">
        <v>16.28</v>
      </c>
      <c r="P89" s="6">
        <f>+N89*O89</f>
        <v>0</v>
      </c>
      <c r="Q89" s="185">
        <f>+P89-M89</f>
        <v>0</v>
      </c>
      <c r="S89" s="122">
        <f>'Service Count Data'!X246</f>
        <v>0</v>
      </c>
      <c r="T89" s="184">
        <v>16.28</v>
      </c>
      <c r="U89" s="6">
        <f>+S89*T89</f>
        <v>0</v>
      </c>
      <c r="V89" s="6">
        <f>+S89</f>
        <v>0</v>
      </c>
      <c r="W89" s="184">
        <v>16.28</v>
      </c>
      <c r="X89" s="6">
        <f>+V89*W89</f>
        <v>0</v>
      </c>
      <c r="Y89" s="185">
        <f>+X89-U89</f>
        <v>0</v>
      </c>
      <c r="Z89" s="6"/>
      <c r="AA89" s="6">
        <f>+I89+Q89+Y89</f>
        <v>0</v>
      </c>
    </row>
    <row r="90" spans="1:29" ht="13.5" thickBot="1">
      <c r="A90" t="s">
        <v>521</v>
      </c>
      <c r="C90" s="122">
        <f>'Service Count Data'!X247</f>
        <v>0</v>
      </c>
      <c r="D90" s="240">
        <v>74</v>
      </c>
      <c r="E90" s="7">
        <f>+C90*D90</f>
        <v>0</v>
      </c>
      <c r="F90" s="174">
        <f>+C90</f>
        <v>0</v>
      </c>
      <c r="G90" s="184">
        <v>81.5</v>
      </c>
      <c r="H90" s="7">
        <f>+F90*G90</f>
        <v>0</v>
      </c>
      <c r="I90" s="182">
        <f>+H90-E90</f>
        <v>0</v>
      </c>
      <c r="K90" s="122">
        <f>'Service Count Data'!X248</f>
        <v>184.95</v>
      </c>
      <c r="L90" s="184">
        <v>81.5</v>
      </c>
      <c r="M90" s="7">
        <f>+K90*L90</f>
        <v>15073.424999999999</v>
      </c>
      <c r="N90" s="7">
        <f>+K90</f>
        <v>184.95</v>
      </c>
      <c r="O90" s="184">
        <v>81.5</v>
      </c>
      <c r="P90" s="7">
        <f>+N90*O90</f>
        <v>15073.424999999999</v>
      </c>
      <c r="Q90" s="182">
        <f>+P90-M90</f>
        <v>0</v>
      </c>
      <c r="S90" s="122">
        <f>'Service Count Data'!X249</f>
        <v>1147.27</v>
      </c>
      <c r="T90" s="184">
        <v>81.5</v>
      </c>
      <c r="U90" s="7">
        <f>+S90*T90</f>
        <v>93502.505000000005</v>
      </c>
      <c r="V90" s="7">
        <f>+S90</f>
        <v>1147.27</v>
      </c>
      <c r="W90" s="184">
        <v>81.5</v>
      </c>
      <c r="X90" s="7">
        <f>+V90*W90</f>
        <v>93502.505000000005</v>
      </c>
      <c r="Y90" s="182">
        <f>+X90-U90</f>
        <v>0</v>
      </c>
      <c r="Z90" s="82"/>
      <c r="AA90" s="6">
        <f>+I90+Q90+Y90</f>
        <v>0</v>
      </c>
      <c r="AB90" s="7">
        <f>SUM(AA88:AA90)</f>
        <v>0</v>
      </c>
    </row>
    <row r="91" spans="1:29">
      <c r="F91" s="122"/>
      <c r="G91" s="56"/>
      <c r="I91" s="134"/>
      <c r="L91" s="56"/>
      <c r="O91" s="56"/>
      <c r="Q91" s="134"/>
      <c r="T91" s="56"/>
      <c r="W91" s="56"/>
      <c r="Y91" s="180"/>
      <c r="Z91" s="18"/>
    </row>
    <row r="92" spans="1:29">
      <c r="C92" s="6">
        <f>SUM(C88:C90)</f>
        <v>9600</v>
      </c>
      <c r="E92" s="56">
        <f>SUM(E88:E90)</f>
        <v>239875.95</v>
      </c>
      <c r="F92" s="122">
        <f>SUM(F88:F90)</f>
        <v>9600</v>
      </c>
      <c r="G92" s="56"/>
      <c r="H92" s="56">
        <f>SUM(H88:H90)</f>
        <v>239875.95</v>
      </c>
      <c r="I92" s="178">
        <f>SUM(I88:I90)</f>
        <v>0</v>
      </c>
      <c r="J92" s="10"/>
      <c r="K92" s="6">
        <f>SUM(K88:K90)</f>
        <v>184.95</v>
      </c>
      <c r="L92" s="56"/>
      <c r="M92" s="56">
        <f>SUM(M88:M90)</f>
        <v>15073.424999999999</v>
      </c>
      <c r="N92" s="6">
        <f>SUM(N88:N90)</f>
        <v>184.95</v>
      </c>
      <c r="O92" s="56"/>
      <c r="P92" s="56">
        <f>SUM(P88:P90)</f>
        <v>15073.424999999999</v>
      </c>
      <c r="Q92" s="178">
        <f>SUM(Q88:Q90)</f>
        <v>0</v>
      </c>
      <c r="R92" s="10"/>
      <c r="S92" s="6">
        <f>SUM(S88:S90)</f>
        <v>1147.27</v>
      </c>
      <c r="T92" s="56"/>
      <c r="U92" s="56">
        <f>SUM(U88:U90)</f>
        <v>93502.505000000005</v>
      </c>
      <c r="V92" s="6">
        <f>SUM(V88:V90)</f>
        <v>1147.27</v>
      </c>
      <c r="W92" s="56"/>
      <c r="X92" s="56">
        <f>SUM(X88:X90)</f>
        <v>93502.505000000005</v>
      </c>
      <c r="Y92" s="178">
        <f>SUM(Y88:Y90)</f>
        <v>0</v>
      </c>
      <c r="Z92" s="56"/>
      <c r="AB92" s="56">
        <f>SUM(AA88:AA90)</f>
        <v>0</v>
      </c>
    </row>
    <row r="93" spans="1:29">
      <c r="F93" s="122"/>
    </row>
    <row r="94" spans="1:29">
      <c r="AB94" s="82"/>
    </row>
    <row r="95" spans="1:29">
      <c r="AB95" s="18"/>
    </row>
    <row r="96" spans="1:29">
      <c r="AB96" s="239"/>
      <c r="AC96" s="139"/>
    </row>
    <row r="97" spans="28:28">
      <c r="AB97" s="18"/>
    </row>
    <row r="98" spans="28:28">
      <c r="AB98" s="18"/>
    </row>
  </sheetData>
  <mergeCells count="6">
    <mergeCell ref="S5:U5"/>
    <mergeCell ref="V5:X5"/>
    <mergeCell ref="C5:E5"/>
    <mergeCell ref="F5:H5"/>
    <mergeCell ref="K5:M5"/>
    <mergeCell ref="N5:P5"/>
  </mergeCells>
  <pageMargins left="0.17" right="0.17" top="0.24" bottom="0.23" header="0.25" footer="0.27"/>
  <pageSetup scale="48" fitToHeight="2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6"/>
  <sheetViews>
    <sheetView topLeftCell="A22" workbookViewId="0">
      <selection activeCell="P45" sqref="P45"/>
    </sheetView>
  </sheetViews>
  <sheetFormatPr defaultRowHeight="12.75"/>
  <cols>
    <col min="1" max="1" width="17.7109375" customWidth="1"/>
    <col min="2" max="2" width="8" customWidth="1"/>
    <col min="3" max="3" width="9.28515625" customWidth="1"/>
    <col min="4" max="4" width="7.85546875" customWidth="1"/>
    <col min="6" max="6" width="8.85546875" customWidth="1"/>
    <col min="7" max="7" width="10.140625" customWidth="1"/>
    <col min="8" max="8" width="8" customWidth="1"/>
    <col min="10" max="10" width="8.140625" customWidth="1"/>
    <col min="12" max="12" width="2.42578125" customWidth="1"/>
    <col min="13" max="13" width="13" customWidth="1"/>
    <col min="15" max="15" width="11" customWidth="1"/>
    <col min="16" max="16" width="11.28515625" customWidth="1"/>
    <col min="17" max="17" width="11.140625" customWidth="1"/>
    <col min="18" max="18" width="11.42578125" customWidth="1"/>
  </cols>
  <sheetData>
    <row r="1" spans="1:18">
      <c r="A1" t="str">
        <f>+'City Contracts'!A1</f>
        <v>Zippy Disposal Service, Inc.</v>
      </c>
    </row>
    <row r="2" spans="1:18">
      <c r="E2" s="643"/>
    </row>
    <row r="3" spans="1:18">
      <c r="A3" t="s">
        <v>653</v>
      </c>
      <c r="D3" s="643" t="s">
        <v>1342</v>
      </c>
      <c r="E3" s="647" t="s">
        <v>689</v>
      </c>
    </row>
    <row r="5" spans="1:18">
      <c r="A5" s="642" t="s">
        <v>1435</v>
      </c>
    </row>
    <row r="7" spans="1:18">
      <c r="A7" s="127" t="s">
        <v>652</v>
      </c>
      <c r="G7" s="127" t="s">
        <v>651</v>
      </c>
      <c r="M7" s="127" t="s">
        <v>650</v>
      </c>
    </row>
    <row r="8" spans="1:18">
      <c r="A8" s="2"/>
      <c r="B8" s="2"/>
      <c r="C8" s="2"/>
      <c r="D8" s="2" t="s">
        <v>644</v>
      </c>
      <c r="E8" s="2" t="s">
        <v>649</v>
      </c>
      <c r="F8" s="2"/>
      <c r="G8" s="2"/>
      <c r="H8" s="2"/>
      <c r="I8" s="2"/>
      <c r="J8" s="2" t="s">
        <v>644</v>
      </c>
      <c r="K8" s="2"/>
      <c r="L8" s="2"/>
      <c r="M8" s="2"/>
      <c r="N8" s="2"/>
      <c r="O8" s="2"/>
      <c r="P8" s="2" t="s">
        <v>644</v>
      </c>
      <c r="Q8" s="2"/>
      <c r="R8" s="2"/>
    </row>
    <row r="9" spans="1:18" ht="13.5" thickBot="1">
      <c r="A9" s="261" t="s">
        <v>584</v>
      </c>
      <c r="B9" s="20" t="s">
        <v>643</v>
      </c>
      <c r="C9" s="20" t="s">
        <v>573</v>
      </c>
      <c r="D9" s="20" t="s">
        <v>642</v>
      </c>
      <c r="E9" s="20" t="s">
        <v>648</v>
      </c>
      <c r="F9" s="2"/>
      <c r="G9" s="261" t="s">
        <v>584</v>
      </c>
      <c r="H9" s="20" t="s">
        <v>643</v>
      </c>
      <c r="I9" s="20" t="s">
        <v>573</v>
      </c>
      <c r="J9" s="20" t="s">
        <v>642</v>
      </c>
      <c r="K9" s="2"/>
      <c r="L9" s="2"/>
      <c r="M9" s="261" t="s">
        <v>584</v>
      </c>
      <c r="N9" s="20" t="s">
        <v>643</v>
      </c>
      <c r="O9" s="20" t="s">
        <v>573</v>
      </c>
      <c r="P9" s="20" t="s">
        <v>642</v>
      </c>
      <c r="Q9" s="93"/>
      <c r="R9" s="128"/>
    </row>
    <row r="11" spans="1:18">
      <c r="A11" t="s">
        <v>504</v>
      </c>
      <c r="B11" s="199">
        <v>0</v>
      </c>
      <c r="C11" s="53">
        <v>0</v>
      </c>
      <c r="D11" s="53">
        <f t="shared" ref="D11:D22" si="0">IF(+B11=0,0,C11/B11)</f>
        <v>0</v>
      </c>
      <c r="E11" s="53"/>
      <c r="G11" t="str">
        <f t="shared" ref="G11:G22" si="1">+A11</f>
        <v>October</v>
      </c>
      <c r="H11" s="199">
        <v>0</v>
      </c>
      <c r="I11" s="53">
        <v>0</v>
      </c>
      <c r="J11" s="53">
        <f t="shared" ref="J11:J22" si="2">IF(+H11=0,0,I11/H11)</f>
        <v>0</v>
      </c>
      <c r="M11" t="str">
        <f t="shared" ref="M11:M22" si="3">+G11</f>
        <v>October</v>
      </c>
      <c r="N11" s="199">
        <v>0</v>
      </c>
      <c r="O11" s="53">
        <v>0</v>
      </c>
      <c r="P11" s="53">
        <f t="shared" ref="P11:P18" si="4">IF(+N11=0,0,O11/N11)</f>
        <v>0</v>
      </c>
      <c r="R11" s="53"/>
    </row>
    <row r="12" spans="1:18">
      <c r="A12" t="s">
        <v>503</v>
      </c>
      <c r="B12" s="199">
        <v>0</v>
      </c>
      <c r="C12" s="53">
        <v>0</v>
      </c>
      <c r="D12" s="53">
        <f t="shared" si="0"/>
        <v>0</v>
      </c>
      <c r="E12" s="53"/>
      <c r="G12" t="str">
        <f t="shared" si="1"/>
        <v>November</v>
      </c>
      <c r="H12" s="199">
        <v>0</v>
      </c>
      <c r="I12" s="53">
        <v>0</v>
      </c>
      <c r="J12" s="53">
        <f t="shared" si="2"/>
        <v>0</v>
      </c>
      <c r="M12" t="str">
        <f t="shared" si="3"/>
        <v>November</v>
      </c>
      <c r="N12" s="199">
        <v>0</v>
      </c>
      <c r="O12" s="53">
        <v>0</v>
      </c>
      <c r="P12" s="53">
        <f t="shared" si="4"/>
        <v>0</v>
      </c>
      <c r="R12" s="53"/>
    </row>
    <row r="13" spans="1:18">
      <c r="A13" s="18" t="s">
        <v>502</v>
      </c>
      <c r="B13" s="199">
        <v>0</v>
      </c>
      <c r="C13" s="53">
        <v>0</v>
      </c>
      <c r="D13" s="53">
        <f t="shared" si="0"/>
        <v>0</v>
      </c>
      <c r="E13" s="53"/>
      <c r="G13" t="str">
        <f t="shared" si="1"/>
        <v>December</v>
      </c>
      <c r="H13" s="199">
        <v>0</v>
      </c>
      <c r="I13" s="53">
        <v>0</v>
      </c>
      <c r="J13" s="53">
        <f t="shared" si="2"/>
        <v>0</v>
      </c>
      <c r="M13" t="str">
        <f t="shared" si="3"/>
        <v>December</v>
      </c>
      <c r="N13" s="199">
        <v>66</v>
      </c>
      <c r="O13" s="53">
        <v>307.27999999999997</v>
      </c>
      <c r="P13" s="53">
        <f t="shared" si="4"/>
        <v>4.6557575757575753</v>
      </c>
      <c r="R13" s="53"/>
    </row>
    <row r="14" spans="1:18">
      <c r="A14" t="s">
        <v>513</v>
      </c>
      <c r="B14" s="199">
        <v>0</v>
      </c>
      <c r="C14" s="53">
        <v>0</v>
      </c>
      <c r="D14" s="53">
        <f t="shared" si="0"/>
        <v>0</v>
      </c>
      <c r="E14" s="53"/>
      <c r="G14" t="str">
        <f t="shared" si="1"/>
        <v>January</v>
      </c>
      <c r="H14" s="199">
        <v>0</v>
      </c>
      <c r="I14" s="53">
        <v>0</v>
      </c>
      <c r="J14" s="53">
        <f t="shared" si="2"/>
        <v>0</v>
      </c>
      <c r="M14" t="str">
        <f t="shared" si="3"/>
        <v>January</v>
      </c>
      <c r="N14" s="199">
        <v>0</v>
      </c>
      <c r="O14" s="53">
        <v>0</v>
      </c>
      <c r="P14" s="53">
        <f t="shared" si="4"/>
        <v>0</v>
      </c>
      <c r="R14" s="53"/>
    </row>
    <row r="15" spans="1:18">
      <c r="A15" t="s">
        <v>512</v>
      </c>
      <c r="B15" s="199">
        <v>0</v>
      </c>
      <c r="C15" s="53">
        <v>0</v>
      </c>
      <c r="D15" s="53">
        <f t="shared" si="0"/>
        <v>0</v>
      </c>
      <c r="E15" s="53"/>
      <c r="G15" t="str">
        <f t="shared" si="1"/>
        <v>February</v>
      </c>
      <c r="H15" s="199">
        <v>0</v>
      </c>
      <c r="I15" s="53">
        <v>0</v>
      </c>
      <c r="J15" s="53">
        <f t="shared" si="2"/>
        <v>0</v>
      </c>
      <c r="M15" t="str">
        <f t="shared" si="3"/>
        <v>February</v>
      </c>
      <c r="N15" s="199">
        <v>0</v>
      </c>
      <c r="O15" s="53">
        <v>0</v>
      </c>
      <c r="P15" s="53">
        <f t="shared" si="4"/>
        <v>0</v>
      </c>
      <c r="R15" s="53"/>
    </row>
    <row r="16" spans="1:18">
      <c r="A16" s="18" t="s">
        <v>511</v>
      </c>
      <c r="B16" s="199">
        <v>0</v>
      </c>
      <c r="C16" s="53">
        <v>0</v>
      </c>
      <c r="D16" s="53">
        <f t="shared" si="0"/>
        <v>0</v>
      </c>
      <c r="E16" s="53"/>
      <c r="G16" t="str">
        <f t="shared" si="1"/>
        <v>March</v>
      </c>
      <c r="H16" s="199">
        <v>0</v>
      </c>
      <c r="I16" s="53">
        <v>0</v>
      </c>
      <c r="J16" s="53">
        <f t="shared" si="2"/>
        <v>0</v>
      </c>
      <c r="M16" t="str">
        <f t="shared" si="3"/>
        <v>March</v>
      </c>
      <c r="N16" s="199">
        <v>118</v>
      </c>
      <c r="O16" s="53">
        <v>503.5</v>
      </c>
      <c r="P16" s="53">
        <f t="shared" si="4"/>
        <v>4.2669491525423728</v>
      </c>
      <c r="R16" s="53"/>
    </row>
    <row r="17" spans="1:19">
      <c r="A17" t="s">
        <v>510</v>
      </c>
      <c r="B17" s="199">
        <v>0</v>
      </c>
      <c r="C17" s="53">
        <v>0</v>
      </c>
      <c r="D17" s="53">
        <f t="shared" si="0"/>
        <v>0</v>
      </c>
      <c r="E17" s="53"/>
      <c r="G17" t="str">
        <f t="shared" si="1"/>
        <v>April</v>
      </c>
      <c r="H17" s="199">
        <v>0</v>
      </c>
      <c r="I17" s="53">
        <v>0</v>
      </c>
      <c r="J17" s="53">
        <f t="shared" si="2"/>
        <v>0</v>
      </c>
      <c r="M17" t="str">
        <f t="shared" si="3"/>
        <v>April</v>
      </c>
      <c r="N17" s="199">
        <v>0</v>
      </c>
      <c r="O17" s="53">
        <v>0</v>
      </c>
      <c r="P17" s="53">
        <f t="shared" si="4"/>
        <v>0</v>
      </c>
      <c r="R17" s="53"/>
    </row>
    <row r="18" spans="1:19">
      <c r="A18" t="s">
        <v>509</v>
      </c>
      <c r="B18" s="199">
        <v>0</v>
      </c>
      <c r="C18" s="53">
        <v>0</v>
      </c>
      <c r="D18" s="53">
        <f t="shared" si="0"/>
        <v>0</v>
      </c>
      <c r="E18" s="53"/>
      <c r="G18" t="str">
        <f t="shared" si="1"/>
        <v>May</v>
      </c>
      <c r="H18" s="199">
        <v>0</v>
      </c>
      <c r="I18" s="53">
        <v>0</v>
      </c>
      <c r="J18" s="53">
        <f t="shared" si="2"/>
        <v>0</v>
      </c>
      <c r="M18" t="str">
        <f t="shared" si="3"/>
        <v>May</v>
      </c>
      <c r="N18" s="199">
        <v>0</v>
      </c>
      <c r="O18" s="53">
        <v>0</v>
      </c>
      <c r="P18" s="53">
        <f t="shared" si="4"/>
        <v>0</v>
      </c>
      <c r="R18" s="53"/>
    </row>
    <row r="19" spans="1:19">
      <c r="A19" s="18" t="s">
        <v>508</v>
      </c>
      <c r="B19" s="199">
        <v>0</v>
      </c>
      <c r="C19" s="53">
        <v>0</v>
      </c>
      <c r="D19" s="53">
        <f t="shared" si="0"/>
        <v>0</v>
      </c>
      <c r="E19" s="53">
        <v>0</v>
      </c>
      <c r="G19" t="str">
        <f t="shared" si="1"/>
        <v>June</v>
      </c>
      <c r="H19" s="199">
        <v>0</v>
      </c>
      <c r="I19" s="53">
        <v>0</v>
      </c>
      <c r="J19" s="53">
        <f t="shared" si="2"/>
        <v>0</v>
      </c>
      <c r="M19" t="str">
        <f t="shared" si="3"/>
        <v>June</v>
      </c>
      <c r="N19" s="199">
        <v>132</v>
      </c>
      <c r="O19" s="53">
        <v>667.82</v>
      </c>
      <c r="P19" s="53">
        <f t="shared" ref="P19:P22" si="5">IF(+N19=0,0,O19/N19)</f>
        <v>5.0592424242424245</v>
      </c>
      <c r="R19" s="53"/>
    </row>
    <row r="20" spans="1:19">
      <c r="A20" t="s">
        <v>507</v>
      </c>
      <c r="B20" s="199">
        <v>0</v>
      </c>
      <c r="C20" s="53">
        <v>0</v>
      </c>
      <c r="D20" s="53">
        <f t="shared" si="0"/>
        <v>0</v>
      </c>
      <c r="E20" s="53"/>
      <c r="G20" t="str">
        <f t="shared" si="1"/>
        <v>July</v>
      </c>
      <c r="H20" s="199">
        <v>0</v>
      </c>
      <c r="I20" s="53">
        <v>0</v>
      </c>
      <c r="J20" s="53">
        <f t="shared" si="2"/>
        <v>0</v>
      </c>
      <c r="M20" t="str">
        <f t="shared" si="3"/>
        <v>July</v>
      </c>
      <c r="N20" s="199">
        <v>65</v>
      </c>
      <c r="O20" s="53">
        <v>345.48</v>
      </c>
      <c r="P20" s="53">
        <f t="shared" si="5"/>
        <v>5.3150769230769237</v>
      </c>
      <c r="R20" s="53"/>
    </row>
    <row r="21" spans="1:19">
      <c r="A21" t="s">
        <v>506</v>
      </c>
      <c r="B21" s="199">
        <v>0</v>
      </c>
      <c r="C21" s="53">
        <v>0</v>
      </c>
      <c r="D21" s="53">
        <f t="shared" si="0"/>
        <v>0</v>
      </c>
      <c r="E21" s="53"/>
      <c r="G21" t="str">
        <f t="shared" si="1"/>
        <v>August</v>
      </c>
      <c r="H21" s="199">
        <v>0</v>
      </c>
      <c r="I21" s="53">
        <v>0</v>
      </c>
      <c r="J21" s="53">
        <f t="shared" si="2"/>
        <v>0</v>
      </c>
      <c r="M21" t="str">
        <f t="shared" si="3"/>
        <v>August</v>
      </c>
      <c r="N21" s="199">
        <v>39</v>
      </c>
      <c r="O21" s="53">
        <v>183.54</v>
      </c>
      <c r="P21" s="53">
        <f t="shared" si="5"/>
        <v>4.7061538461538461</v>
      </c>
      <c r="R21" s="53"/>
    </row>
    <row r="22" spans="1:19" ht="13.5" thickBot="1">
      <c r="A22" s="5" t="s">
        <v>505</v>
      </c>
      <c r="B22" s="263">
        <v>0</v>
      </c>
      <c r="C22" s="224">
        <v>0</v>
      </c>
      <c r="D22" s="224">
        <f t="shared" si="0"/>
        <v>0</v>
      </c>
      <c r="E22" s="224"/>
      <c r="G22" t="str">
        <f t="shared" si="1"/>
        <v>September</v>
      </c>
      <c r="H22" s="263">
        <v>0</v>
      </c>
      <c r="I22" s="224">
        <v>0</v>
      </c>
      <c r="J22" s="224">
        <f t="shared" si="2"/>
        <v>0</v>
      </c>
      <c r="M22" t="str">
        <f t="shared" si="3"/>
        <v>September</v>
      </c>
      <c r="N22" s="258">
        <v>42</v>
      </c>
      <c r="O22" s="257">
        <v>193.27</v>
      </c>
      <c r="P22" s="224">
        <f t="shared" si="5"/>
        <v>4.6016666666666666</v>
      </c>
      <c r="Q22" s="18"/>
      <c r="R22" s="256"/>
    </row>
    <row r="23" spans="1:19">
      <c r="B23" s="199"/>
      <c r="C23" s="53"/>
      <c r="H23" s="199"/>
      <c r="I23" s="53"/>
      <c r="J23" s="53"/>
      <c r="N23" s="199"/>
      <c r="O23" s="53"/>
    </row>
    <row r="24" spans="1:19">
      <c r="A24" t="s">
        <v>610</v>
      </c>
      <c r="B24" s="199">
        <f>SUM(B11:B22)</f>
        <v>0</v>
      </c>
      <c r="C24" s="53">
        <f>SUM(C11:C22)</f>
        <v>0</v>
      </c>
      <c r="D24" s="53" t="e">
        <f>+C24/B24</f>
        <v>#DIV/0!</v>
      </c>
      <c r="E24" s="53">
        <f>SUM(E11:E22)</f>
        <v>0</v>
      </c>
      <c r="H24" s="199">
        <f>SUM(H11:H22)</f>
        <v>0</v>
      </c>
      <c r="I24" s="53">
        <f>SUM(I11:I22)</f>
        <v>0</v>
      </c>
      <c r="J24" s="53" t="e">
        <f>+I24/H24</f>
        <v>#DIV/0!</v>
      </c>
      <c r="N24" s="199">
        <f>SUM(N11:N22)</f>
        <v>462</v>
      </c>
      <c r="O24" s="53">
        <f>SUM(O11:O22)</f>
        <v>2200.89</v>
      </c>
      <c r="P24" s="53">
        <f>+O24/N24</f>
        <v>4.7638311688311683</v>
      </c>
      <c r="Q24" s="53"/>
      <c r="R24" s="256"/>
    </row>
    <row r="25" spans="1:19">
      <c r="B25" s="199"/>
      <c r="C25" s="53"/>
      <c r="H25" s="199"/>
      <c r="I25" s="53"/>
      <c r="J25" s="53"/>
      <c r="N25" s="199"/>
      <c r="O25" s="53"/>
    </row>
    <row r="26" spans="1:19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9" spans="1:19">
      <c r="A29" s="127" t="s">
        <v>647</v>
      </c>
    </row>
    <row r="30" spans="1:19">
      <c r="B30" s="262" t="s">
        <v>646</v>
      </c>
      <c r="C30" s="262"/>
      <c r="D30" s="262"/>
      <c r="E30" s="262" t="s">
        <v>645</v>
      </c>
      <c r="F30" s="262"/>
      <c r="G30" s="262"/>
      <c r="H30" s="787" t="s">
        <v>339</v>
      </c>
      <c r="I30" s="786"/>
      <c r="J30" s="786"/>
    </row>
    <row r="31" spans="1:19">
      <c r="A31" s="2"/>
      <c r="B31" s="2"/>
      <c r="C31" s="2"/>
      <c r="D31" s="2" t="s">
        <v>644</v>
      </c>
      <c r="E31" s="2"/>
      <c r="F31" s="2"/>
      <c r="G31" s="2" t="s">
        <v>644</v>
      </c>
      <c r="H31" s="2"/>
      <c r="I31" s="2"/>
      <c r="J31" s="2" t="s">
        <v>644</v>
      </c>
    </row>
    <row r="32" spans="1:19" ht="13.5" thickBot="1">
      <c r="A32" s="261" t="s">
        <v>584</v>
      </c>
      <c r="B32" s="20" t="s">
        <v>643</v>
      </c>
      <c r="C32" s="20" t="s">
        <v>573</v>
      </c>
      <c r="D32" s="20" t="s">
        <v>642</v>
      </c>
      <c r="E32" s="20" t="s">
        <v>643</v>
      </c>
      <c r="F32" s="20" t="s">
        <v>573</v>
      </c>
      <c r="G32" s="20" t="s">
        <v>642</v>
      </c>
      <c r="H32" s="20" t="s">
        <v>643</v>
      </c>
      <c r="I32" s="20" t="s">
        <v>573</v>
      </c>
      <c r="J32" s="20" t="s">
        <v>642</v>
      </c>
    </row>
    <row r="33" spans="1:18">
      <c r="N33" t="s">
        <v>326</v>
      </c>
    </row>
    <row r="34" spans="1:18">
      <c r="A34" s="1" t="s">
        <v>617</v>
      </c>
      <c r="B34" s="199">
        <v>905</v>
      </c>
      <c r="C34" s="53">
        <v>3261.66</v>
      </c>
      <c r="D34" s="53">
        <f t="shared" ref="D34:D39" si="6">IF(+B34=0,0,C34/B34)</f>
        <v>3.6040441988950276</v>
      </c>
      <c r="E34" s="199">
        <v>270</v>
      </c>
      <c r="F34" s="53">
        <v>1005.68</v>
      </c>
      <c r="G34" s="53">
        <f t="shared" ref="G34:G39" si="7">IF(+E34=0,0,F34/E34)</f>
        <v>3.7247407407407405</v>
      </c>
      <c r="H34" s="199">
        <v>35</v>
      </c>
      <c r="I34" s="53">
        <v>130.19999999999999</v>
      </c>
      <c r="J34" s="53">
        <f t="shared" ref="J34:J39" si="8">IF(+H34=0,0,I34/H34)</f>
        <v>3.7199999999999998</v>
      </c>
      <c r="K34" s="53">
        <f t="shared" ref="K34:K39" si="9">+C34+F34+I34</f>
        <v>4397.54</v>
      </c>
      <c r="L34" s="53"/>
    </row>
    <row r="35" spans="1:18">
      <c r="A35" s="1" t="s">
        <v>616</v>
      </c>
      <c r="B35" s="199">
        <v>744</v>
      </c>
      <c r="C35" s="53">
        <v>2769.45</v>
      </c>
      <c r="D35" s="53">
        <f t="shared" si="6"/>
        <v>3.7223790322580643</v>
      </c>
      <c r="E35" s="199">
        <v>187</v>
      </c>
      <c r="F35" s="53">
        <v>703.35</v>
      </c>
      <c r="G35" s="53">
        <f t="shared" si="7"/>
        <v>3.7612299465240642</v>
      </c>
      <c r="H35" s="199">
        <v>27</v>
      </c>
      <c r="I35" s="53">
        <v>102.23</v>
      </c>
      <c r="J35" s="53">
        <f t="shared" si="8"/>
        <v>3.7862962962962965</v>
      </c>
      <c r="K35" s="53">
        <f t="shared" si="9"/>
        <v>3575.0299999999997</v>
      </c>
      <c r="L35" s="53"/>
    </row>
    <row r="36" spans="1:18">
      <c r="A36" s="1" t="s">
        <v>615</v>
      </c>
      <c r="B36" s="199">
        <v>1010</v>
      </c>
      <c r="C36" s="53">
        <v>2701.76</v>
      </c>
      <c r="D36" s="53">
        <f t="shared" si="6"/>
        <v>2.6750099009900992</v>
      </c>
      <c r="E36" s="199">
        <v>251</v>
      </c>
      <c r="F36" s="53">
        <v>944.48</v>
      </c>
      <c r="G36" s="53">
        <f t="shared" si="7"/>
        <v>3.7628685258964145</v>
      </c>
      <c r="H36" s="199">
        <v>33</v>
      </c>
      <c r="I36" s="53">
        <v>123.15</v>
      </c>
      <c r="J36" s="53">
        <f t="shared" si="8"/>
        <v>3.7318181818181819</v>
      </c>
      <c r="K36" s="53">
        <f t="shared" si="9"/>
        <v>3769.3900000000003</v>
      </c>
      <c r="L36" s="53"/>
    </row>
    <row r="37" spans="1:18">
      <c r="A37" s="1" t="s">
        <v>614</v>
      </c>
      <c r="B37" s="199">
        <v>824</v>
      </c>
      <c r="C37" s="53">
        <v>3038.59</v>
      </c>
      <c r="D37" s="53">
        <f t="shared" si="6"/>
        <v>3.6876092233009712</v>
      </c>
      <c r="E37" s="199">
        <v>253</v>
      </c>
      <c r="F37" s="53">
        <v>949.89</v>
      </c>
      <c r="G37" s="53">
        <f t="shared" si="7"/>
        <v>3.7545059288537548</v>
      </c>
      <c r="H37" s="199">
        <v>0</v>
      </c>
      <c r="I37" s="53">
        <v>0</v>
      </c>
      <c r="J37" s="53">
        <f t="shared" si="8"/>
        <v>0</v>
      </c>
      <c r="K37" s="53">
        <f t="shared" si="9"/>
        <v>3988.48</v>
      </c>
      <c r="L37" s="53"/>
    </row>
    <row r="38" spans="1:18">
      <c r="A38" s="253" t="s">
        <v>613</v>
      </c>
      <c r="B38" s="203">
        <v>776</v>
      </c>
      <c r="C38" s="196">
        <v>2894.55</v>
      </c>
      <c r="D38" s="196">
        <f t="shared" si="6"/>
        <v>3.7300902061855674</v>
      </c>
      <c r="E38" s="203">
        <v>208</v>
      </c>
      <c r="F38" s="196">
        <v>784.46</v>
      </c>
      <c r="G38" s="196">
        <f t="shared" si="7"/>
        <v>3.771442307692308</v>
      </c>
      <c r="H38" s="203">
        <v>14</v>
      </c>
      <c r="I38" s="196">
        <v>54.88</v>
      </c>
      <c r="J38" s="53">
        <f t="shared" si="8"/>
        <v>3.9200000000000004</v>
      </c>
      <c r="K38" s="53">
        <f t="shared" si="9"/>
        <v>3733.8900000000003</v>
      </c>
      <c r="L38" s="53"/>
      <c r="R38" s="2" t="s">
        <v>635</v>
      </c>
    </row>
    <row r="39" spans="1:18">
      <c r="A39" s="253" t="s">
        <v>612</v>
      </c>
      <c r="B39" s="630">
        <v>855</v>
      </c>
      <c r="C39" s="197">
        <v>3219.25</v>
      </c>
      <c r="D39" s="197">
        <f t="shared" si="6"/>
        <v>3.765204678362573</v>
      </c>
      <c r="E39" s="630">
        <v>188</v>
      </c>
      <c r="F39" s="197">
        <v>718.66</v>
      </c>
      <c r="G39" s="197">
        <f t="shared" si="7"/>
        <v>3.8226595744680849</v>
      </c>
      <c r="H39" s="630">
        <v>21</v>
      </c>
      <c r="I39" s="197">
        <v>78.92</v>
      </c>
      <c r="J39" s="256">
        <f t="shared" si="8"/>
        <v>3.7580952380952382</v>
      </c>
      <c r="K39" s="53">
        <f t="shared" si="9"/>
        <v>4016.83</v>
      </c>
      <c r="L39" s="53"/>
      <c r="P39" s="2" t="s">
        <v>635</v>
      </c>
      <c r="Q39" s="2" t="s">
        <v>635</v>
      </c>
      <c r="R39" t="s">
        <v>339</v>
      </c>
    </row>
    <row r="40" spans="1:18" ht="13.5" thickBot="1">
      <c r="A40" s="260" t="s">
        <v>641</v>
      </c>
      <c r="B40" s="199">
        <v>732</v>
      </c>
      <c r="C40" s="53">
        <v>2930.9</v>
      </c>
      <c r="D40" s="53">
        <f t="shared" ref="D40:D51" si="10">IF(+B40=0,0,C40/B40)</f>
        <v>4.0039617486338797</v>
      </c>
      <c r="E40" s="199">
        <v>127</v>
      </c>
      <c r="F40" s="53">
        <v>516.28</v>
      </c>
      <c r="G40" s="53">
        <f t="shared" ref="G40:G51" si="11">IF(+E40=0,0,F40/E40)</f>
        <v>4.0651968503937006</v>
      </c>
      <c r="H40" s="199">
        <v>30</v>
      </c>
      <c r="I40" s="53">
        <v>118.55</v>
      </c>
      <c r="J40" s="53">
        <f t="shared" ref="J40:J51" si="12">IF(+H40=0,0,I40/H40)</f>
        <v>3.9516666666666667</v>
      </c>
      <c r="K40" s="53">
        <f t="shared" ref="K40:K51" si="13">+C40+F40+I40</f>
        <v>3565.7300000000005</v>
      </c>
      <c r="L40" s="53"/>
      <c r="P40" s="5"/>
      <c r="Q40" s="20" t="s">
        <v>262</v>
      </c>
      <c r="R40" s="20" t="s">
        <v>340</v>
      </c>
    </row>
    <row r="41" spans="1:18">
      <c r="A41" s="260" t="s">
        <v>640</v>
      </c>
      <c r="B41" s="199">
        <v>567</v>
      </c>
      <c r="C41" s="53">
        <v>2331.31</v>
      </c>
      <c r="D41" s="53">
        <f t="shared" si="10"/>
        <v>4.1116578483245148</v>
      </c>
      <c r="E41" s="199">
        <v>167</v>
      </c>
      <c r="F41" s="53">
        <v>700.26</v>
      </c>
      <c r="G41" s="53">
        <f t="shared" si="11"/>
        <v>4.1931736526946111</v>
      </c>
      <c r="H41" s="199">
        <v>34</v>
      </c>
      <c r="I41" s="53">
        <v>142.93</v>
      </c>
      <c r="J41" s="53">
        <f t="shared" si="12"/>
        <v>4.203823529411765</v>
      </c>
      <c r="K41" s="53">
        <f t="shared" si="13"/>
        <v>3174.4999999999995</v>
      </c>
      <c r="L41" s="53"/>
    </row>
    <row r="42" spans="1:18">
      <c r="A42" s="1" t="s">
        <v>639</v>
      </c>
      <c r="B42" s="199">
        <v>722</v>
      </c>
      <c r="C42" s="53">
        <v>2969.26</v>
      </c>
      <c r="D42" s="53">
        <f t="shared" si="10"/>
        <v>4.1125484764542941</v>
      </c>
      <c r="E42" s="199">
        <v>149</v>
      </c>
      <c r="F42" s="53">
        <v>622.46</v>
      </c>
      <c r="G42" s="53">
        <f t="shared" si="11"/>
        <v>4.1775838926174496</v>
      </c>
      <c r="H42" s="199">
        <v>38</v>
      </c>
      <c r="I42" s="53">
        <v>160.91</v>
      </c>
      <c r="J42" s="53">
        <f t="shared" si="12"/>
        <v>4.2344736842105259</v>
      </c>
      <c r="K42" s="53">
        <f t="shared" si="13"/>
        <v>3752.63</v>
      </c>
      <c r="L42" s="53"/>
      <c r="M42" t="s">
        <v>631</v>
      </c>
      <c r="P42" s="53">
        <f>+C24+I24+O24+C59</f>
        <v>101903.87999999999</v>
      </c>
      <c r="Q42" s="53">
        <f>+F59</f>
        <v>24735.870000000003</v>
      </c>
      <c r="R42" s="53">
        <f>+I59</f>
        <v>3085.0899999999997</v>
      </c>
    </row>
    <row r="43" spans="1:18">
      <c r="A43" s="1" t="s">
        <v>638</v>
      </c>
      <c r="B43" s="199">
        <v>643</v>
      </c>
      <c r="C43" s="53">
        <v>2725.33</v>
      </c>
      <c r="D43" s="53">
        <f t="shared" si="10"/>
        <v>4.2384603421461895</v>
      </c>
      <c r="E43" s="199">
        <v>51</v>
      </c>
      <c r="F43" s="53">
        <v>216.5</v>
      </c>
      <c r="G43" s="53">
        <f t="shared" si="11"/>
        <v>4.2450980392156863</v>
      </c>
      <c r="H43" s="199">
        <v>17</v>
      </c>
      <c r="I43" s="53">
        <v>70.62</v>
      </c>
      <c r="J43" s="53">
        <f t="shared" si="12"/>
        <v>4.1541176470588237</v>
      </c>
      <c r="K43" s="53">
        <f t="shared" si="13"/>
        <v>3012.45</v>
      </c>
      <c r="L43" s="53"/>
    </row>
    <row r="44" spans="1:18">
      <c r="A44" s="1" t="s">
        <v>637</v>
      </c>
      <c r="B44" s="199">
        <v>758</v>
      </c>
      <c r="C44" s="53">
        <v>3739.81</v>
      </c>
      <c r="D44" s="53">
        <f t="shared" si="10"/>
        <v>4.9337862796833774</v>
      </c>
      <c r="E44" s="199">
        <v>204</v>
      </c>
      <c r="F44" s="53">
        <v>1060.08</v>
      </c>
      <c r="G44" s="53">
        <f t="shared" si="11"/>
        <v>5.196470588235294</v>
      </c>
      <c r="H44" s="199">
        <v>41</v>
      </c>
      <c r="I44" s="53">
        <v>210.98</v>
      </c>
      <c r="J44" s="53">
        <f t="shared" si="12"/>
        <v>5.1458536585365851</v>
      </c>
      <c r="K44" s="53">
        <f t="shared" si="13"/>
        <v>5010.869999999999</v>
      </c>
      <c r="L44" s="53"/>
      <c r="M44" s="83"/>
      <c r="P44" s="53">
        <v>0</v>
      </c>
      <c r="Q44" s="53">
        <f>+G24</f>
        <v>0</v>
      </c>
      <c r="R44" s="53">
        <f>+H24</f>
        <v>0</v>
      </c>
    </row>
    <row r="45" spans="1:18">
      <c r="A45" s="1" t="s">
        <v>636</v>
      </c>
      <c r="B45" s="199">
        <v>878</v>
      </c>
      <c r="C45" s="53">
        <v>4935.6400000000003</v>
      </c>
      <c r="D45" s="53">
        <f t="shared" si="10"/>
        <v>5.621457858769932</v>
      </c>
      <c r="E45" s="199">
        <v>198</v>
      </c>
      <c r="F45" s="53">
        <v>1125.24</v>
      </c>
      <c r="G45" s="53">
        <f t="shared" si="11"/>
        <v>5.6830303030303027</v>
      </c>
      <c r="H45" s="199">
        <v>32</v>
      </c>
      <c r="I45" s="53">
        <v>185.57</v>
      </c>
      <c r="J45" s="53">
        <f t="shared" si="12"/>
        <v>5.7990624999999998</v>
      </c>
      <c r="K45" s="53">
        <f t="shared" si="13"/>
        <v>6246.45</v>
      </c>
      <c r="L45" s="53"/>
      <c r="M45" t="s">
        <v>627</v>
      </c>
      <c r="P45" s="53">
        <v>694.5</v>
      </c>
      <c r="Q45" s="53">
        <v>0</v>
      </c>
      <c r="R45" s="53">
        <v>0</v>
      </c>
    </row>
    <row r="46" spans="1:18">
      <c r="A46" s="1" t="s">
        <v>634</v>
      </c>
      <c r="B46" s="199">
        <v>874</v>
      </c>
      <c r="C46" s="53">
        <v>4701.45</v>
      </c>
      <c r="D46" s="53">
        <f t="shared" si="10"/>
        <v>5.3792334096109835</v>
      </c>
      <c r="E46" s="199">
        <v>141</v>
      </c>
      <c r="F46" s="53">
        <v>771.85</v>
      </c>
      <c r="G46" s="53">
        <f t="shared" si="11"/>
        <v>5.4741134751773055</v>
      </c>
      <c r="H46" s="199">
        <v>38</v>
      </c>
      <c r="I46" s="53">
        <v>204.04</v>
      </c>
      <c r="J46" s="53">
        <f t="shared" si="12"/>
        <v>5.3694736842105257</v>
      </c>
      <c r="K46" s="53">
        <f t="shared" si="13"/>
        <v>5677.34</v>
      </c>
      <c r="L46" s="53"/>
      <c r="M46" t="s">
        <v>625</v>
      </c>
      <c r="P46" s="53">
        <v>2941.69</v>
      </c>
      <c r="Q46" s="53">
        <v>0</v>
      </c>
      <c r="R46" s="53">
        <v>0</v>
      </c>
    </row>
    <row r="47" spans="1:18">
      <c r="A47" s="1" t="s">
        <v>633</v>
      </c>
      <c r="B47" s="199">
        <v>824</v>
      </c>
      <c r="C47" s="53">
        <v>4286.49</v>
      </c>
      <c r="D47" s="53">
        <f t="shared" si="10"/>
        <v>5.2020509708737865</v>
      </c>
      <c r="E47" s="199">
        <v>212</v>
      </c>
      <c r="F47" s="53">
        <v>1132.53</v>
      </c>
      <c r="G47" s="53">
        <f t="shared" si="11"/>
        <v>5.3421226415094338</v>
      </c>
      <c r="H47" s="199">
        <v>23</v>
      </c>
      <c r="I47" s="53">
        <v>123.75</v>
      </c>
      <c r="J47" s="53">
        <f t="shared" si="12"/>
        <v>5.3804347826086953</v>
      </c>
      <c r="K47" s="53">
        <f t="shared" si="13"/>
        <v>5542.7699999999995</v>
      </c>
      <c r="L47" s="53"/>
      <c r="M47" t="s">
        <v>1443</v>
      </c>
      <c r="N47" s="83"/>
      <c r="P47" s="84">
        <v>444.04</v>
      </c>
      <c r="Q47" s="53">
        <v>0</v>
      </c>
      <c r="R47" s="53">
        <v>0</v>
      </c>
    </row>
    <row r="48" spans="1:18">
      <c r="A48" s="1" t="s">
        <v>632</v>
      </c>
      <c r="B48" s="199">
        <v>721</v>
      </c>
      <c r="C48" s="53">
        <v>3924.69</v>
      </c>
      <c r="D48" s="53">
        <f t="shared" si="10"/>
        <v>5.4433980582524271</v>
      </c>
      <c r="E48" s="199">
        <v>216</v>
      </c>
      <c r="F48" s="53">
        <v>1199.04</v>
      </c>
      <c r="G48" s="53">
        <f t="shared" si="11"/>
        <v>5.5511111111111111</v>
      </c>
      <c r="H48" s="199">
        <v>29</v>
      </c>
      <c r="I48" s="53">
        <v>163.26</v>
      </c>
      <c r="J48" s="53">
        <f t="shared" si="12"/>
        <v>5.6296551724137931</v>
      </c>
      <c r="K48" s="53">
        <f t="shared" si="13"/>
        <v>5286.99</v>
      </c>
      <c r="L48" s="53"/>
      <c r="M48" t="s">
        <v>622</v>
      </c>
      <c r="P48" s="53">
        <v>5000.28</v>
      </c>
      <c r="Q48" s="53">
        <v>0</v>
      </c>
      <c r="R48" s="53">
        <v>0</v>
      </c>
    </row>
    <row r="49" spans="1:18">
      <c r="A49" s="1" t="s">
        <v>630</v>
      </c>
      <c r="B49" s="199">
        <v>835</v>
      </c>
      <c r="C49" s="53">
        <v>4547.25</v>
      </c>
      <c r="D49" s="53">
        <f t="shared" si="10"/>
        <v>5.4458083832335333</v>
      </c>
      <c r="E49" s="199">
        <v>240</v>
      </c>
      <c r="F49" s="53">
        <v>1317.05</v>
      </c>
      <c r="G49" s="53">
        <f t="shared" si="11"/>
        <v>5.487708333333333</v>
      </c>
      <c r="H49" s="199">
        <v>19</v>
      </c>
      <c r="I49" s="53">
        <v>106.51</v>
      </c>
      <c r="J49" s="53">
        <f t="shared" si="12"/>
        <v>5.6057894736842107</v>
      </c>
      <c r="K49" s="53">
        <f t="shared" si="13"/>
        <v>5970.81</v>
      </c>
      <c r="L49" s="53"/>
      <c r="M49" t="s">
        <v>620</v>
      </c>
      <c r="P49" s="53">
        <v>100</v>
      </c>
      <c r="Q49" s="53">
        <v>41.12</v>
      </c>
      <c r="R49" s="53">
        <v>0</v>
      </c>
    </row>
    <row r="50" spans="1:18" ht="13.5" thickBot="1">
      <c r="A50" s="253" t="s">
        <v>629</v>
      </c>
      <c r="B50" s="203">
        <v>862</v>
      </c>
      <c r="C50" s="196">
        <v>5232.41</v>
      </c>
      <c r="D50" s="196">
        <f t="shared" si="10"/>
        <v>6.0700812064965195</v>
      </c>
      <c r="E50" s="203">
        <v>212</v>
      </c>
      <c r="F50" s="196">
        <v>1296.28</v>
      </c>
      <c r="G50" s="196">
        <f t="shared" si="11"/>
        <v>6.114528301886792</v>
      </c>
      <c r="H50" s="203">
        <v>17</v>
      </c>
      <c r="I50" s="196">
        <v>101.74</v>
      </c>
      <c r="J50" s="53">
        <f t="shared" si="12"/>
        <v>5.9847058823529409</v>
      </c>
      <c r="K50" s="53">
        <f t="shared" si="13"/>
        <v>6630.4299999999994</v>
      </c>
      <c r="L50" s="53"/>
      <c r="P50" s="224"/>
      <c r="Q50" s="224"/>
      <c r="R50" s="224"/>
    </row>
    <row r="51" spans="1:18">
      <c r="A51" s="253" t="s">
        <v>628</v>
      </c>
      <c r="B51" s="630">
        <v>1003</v>
      </c>
      <c r="C51" s="197">
        <v>6353.15</v>
      </c>
      <c r="D51" s="197">
        <f t="shared" si="10"/>
        <v>6.3341475573280155</v>
      </c>
      <c r="E51" s="630">
        <v>248</v>
      </c>
      <c r="F51" s="197">
        <v>1590.67</v>
      </c>
      <c r="G51" s="197">
        <f t="shared" si="11"/>
        <v>6.413991935483871</v>
      </c>
      <c r="H51" s="630">
        <v>22</v>
      </c>
      <c r="I51" s="197">
        <v>138.91999999999999</v>
      </c>
      <c r="J51" s="256">
        <f t="shared" si="12"/>
        <v>6.3145454545454536</v>
      </c>
      <c r="K51" s="53">
        <f t="shared" si="13"/>
        <v>8082.74</v>
      </c>
      <c r="L51" s="53"/>
      <c r="M51" t="s">
        <v>2</v>
      </c>
      <c r="P51" s="53">
        <f>SUM(P42:P49)</f>
        <v>111084.38999999998</v>
      </c>
      <c r="Q51" s="53">
        <f>SUM(Q42:Q49)</f>
        <v>24776.99</v>
      </c>
      <c r="R51" s="53">
        <f>SUM(R42:R49)</f>
        <v>3085.0899999999997</v>
      </c>
    </row>
    <row r="52" spans="1:18">
      <c r="A52" s="1" t="s">
        <v>626</v>
      </c>
      <c r="B52" s="199">
        <v>963</v>
      </c>
      <c r="C52" s="53">
        <v>6126.91</v>
      </c>
      <c r="D52" s="53">
        <f t="shared" ref="D52:D57" si="14">IF(+B52=0,0,C52/B52)</f>
        <v>6.3623156801661471</v>
      </c>
      <c r="E52" s="199">
        <v>219</v>
      </c>
      <c r="F52" s="53">
        <v>1417.84</v>
      </c>
      <c r="G52" s="53">
        <f t="shared" ref="G52:G57" si="15">IF(+E52=0,0,F52/E52)</f>
        <v>6.4741552511415525</v>
      </c>
      <c r="H52" s="199">
        <v>29</v>
      </c>
      <c r="I52" s="53">
        <v>184.5</v>
      </c>
      <c r="J52" s="53">
        <f t="shared" ref="J52:J57" si="16">IF(+H52=0,0,I52/H52)</f>
        <v>6.3620689655172411</v>
      </c>
      <c r="K52" s="53">
        <f t="shared" ref="K52:K57" si="17">+C52+F52+I52</f>
        <v>7729.25</v>
      </c>
      <c r="L52" s="53"/>
      <c r="P52" s="53"/>
      <c r="Q52" s="53"/>
      <c r="R52" s="53"/>
    </row>
    <row r="53" spans="1:18" ht="13.5" thickBot="1">
      <c r="A53" s="1" t="s">
        <v>624</v>
      </c>
      <c r="B53" s="199">
        <v>993</v>
      </c>
      <c r="C53" s="53">
        <v>5923.28</v>
      </c>
      <c r="D53" s="53">
        <f t="shared" si="14"/>
        <v>5.9650352467270897</v>
      </c>
      <c r="E53" s="199">
        <v>283</v>
      </c>
      <c r="F53" s="53">
        <v>1727.23</v>
      </c>
      <c r="G53" s="53">
        <f t="shared" si="15"/>
        <v>6.103286219081272</v>
      </c>
      <c r="H53" s="199">
        <v>13</v>
      </c>
      <c r="I53" s="53">
        <v>80.209999999999994</v>
      </c>
      <c r="J53" s="53">
        <f t="shared" si="16"/>
        <v>6.17</v>
      </c>
      <c r="K53" s="53">
        <f t="shared" si="17"/>
        <v>7730.72</v>
      </c>
      <c r="L53" s="53"/>
      <c r="M53" t="s">
        <v>84</v>
      </c>
      <c r="P53" s="224">
        <f>'Results of Operations Staff '!C45</f>
        <v>111084.39</v>
      </c>
      <c r="Q53" s="224">
        <f>'Results of Operations Staff '!C46</f>
        <v>24776.99</v>
      </c>
      <c r="R53" s="224">
        <f>'Results of Operations Staff '!C47</f>
        <v>3085.0899999999997</v>
      </c>
    </row>
    <row r="54" spans="1:18">
      <c r="A54" s="1" t="s">
        <v>623</v>
      </c>
      <c r="B54" s="199">
        <v>932</v>
      </c>
      <c r="C54" s="53">
        <v>5003.12</v>
      </c>
      <c r="D54" s="53">
        <f t="shared" si="14"/>
        <v>5.3681545064377678</v>
      </c>
      <c r="E54" s="199">
        <v>164</v>
      </c>
      <c r="F54" s="53">
        <v>887.82</v>
      </c>
      <c r="G54" s="53">
        <f t="shared" si="15"/>
        <v>5.4135365853658541</v>
      </c>
      <c r="H54" s="199">
        <v>30</v>
      </c>
      <c r="I54" s="53">
        <v>167.08</v>
      </c>
      <c r="J54" s="53">
        <f t="shared" si="16"/>
        <v>5.5693333333333337</v>
      </c>
      <c r="K54" s="53">
        <f t="shared" si="17"/>
        <v>6058.0199999999995</v>
      </c>
      <c r="L54" s="53"/>
      <c r="P54" s="53"/>
      <c r="Q54" s="53"/>
      <c r="R54" s="53"/>
    </row>
    <row r="55" spans="1:18" ht="13.5" thickBot="1">
      <c r="A55" s="1" t="s">
        <v>621</v>
      </c>
      <c r="B55" s="199">
        <v>1198</v>
      </c>
      <c r="C55" s="53">
        <v>6087.74</v>
      </c>
      <c r="D55" s="53">
        <f t="shared" si="14"/>
        <v>5.0815859766277125</v>
      </c>
      <c r="E55" s="199">
        <v>277</v>
      </c>
      <c r="F55" s="53">
        <v>1426.61</v>
      </c>
      <c r="G55" s="53">
        <f t="shared" si="15"/>
        <v>5.1502166064981942</v>
      </c>
      <c r="H55" s="199">
        <v>28</v>
      </c>
      <c r="I55" s="53">
        <v>142.96</v>
      </c>
      <c r="J55" s="53">
        <f t="shared" si="16"/>
        <v>5.1057142857142859</v>
      </c>
      <c r="K55" s="53">
        <f t="shared" si="17"/>
        <v>7657.3099999999995</v>
      </c>
      <c r="L55" s="53"/>
      <c r="M55" t="s">
        <v>611</v>
      </c>
      <c r="P55" s="259">
        <f>ROUND(+P51-P53,2)</f>
        <v>0</v>
      </c>
      <c r="Q55" s="259">
        <f>ROUND(+Q51-Q53,2)</f>
        <v>0</v>
      </c>
      <c r="R55" s="259">
        <f>ROUND(+R51-R53,2)</f>
        <v>0</v>
      </c>
    </row>
    <row r="56" spans="1:18" ht="13.5" thickTop="1">
      <c r="A56" s="1" t="s">
        <v>619</v>
      </c>
      <c r="B56" s="203">
        <v>1030</v>
      </c>
      <c r="C56" s="196">
        <v>5329.51</v>
      </c>
      <c r="D56" s="196">
        <f t="shared" si="14"/>
        <v>5.1742815533980586</v>
      </c>
      <c r="E56" s="203">
        <v>244</v>
      </c>
      <c r="F56" s="196">
        <v>1266.75</v>
      </c>
      <c r="G56" s="196">
        <f t="shared" si="15"/>
        <v>5.1915983606557381</v>
      </c>
      <c r="H56" s="203">
        <v>32</v>
      </c>
      <c r="I56" s="196">
        <v>167.25</v>
      </c>
      <c r="J56" s="53">
        <f t="shared" si="16"/>
        <v>5.2265625</v>
      </c>
      <c r="K56" s="53">
        <f t="shared" si="17"/>
        <v>6763.51</v>
      </c>
      <c r="L56" s="53"/>
    </row>
    <row r="57" spans="1:18" ht="13.5" thickBot="1">
      <c r="A57" s="253" t="s">
        <v>618</v>
      </c>
      <c r="B57" s="258">
        <v>948</v>
      </c>
      <c r="C57" s="257">
        <v>4669.4799999999996</v>
      </c>
      <c r="D57" s="257">
        <f t="shared" si="14"/>
        <v>4.9256118143459915</v>
      </c>
      <c r="E57" s="258">
        <v>271</v>
      </c>
      <c r="F57" s="257">
        <v>1354.86</v>
      </c>
      <c r="G57" s="257">
        <f t="shared" si="15"/>
        <v>4.9994833948339483</v>
      </c>
      <c r="H57" s="258">
        <v>26</v>
      </c>
      <c r="I57" s="257">
        <v>125.93</v>
      </c>
      <c r="J57" s="224">
        <f t="shared" si="16"/>
        <v>4.8434615384615389</v>
      </c>
      <c r="K57" s="53">
        <f t="shared" si="17"/>
        <v>6150.2699999999995</v>
      </c>
      <c r="L57" s="53"/>
      <c r="M57" t="s">
        <v>611</v>
      </c>
      <c r="P57">
        <f>IF(P55+Q55=0,Q55,"err")</f>
        <v>0</v>
      </c>
    </row>
    <row r="58" spans="1:18">
      <c r="B58" s="199"/>
      <c r="C58" s="53"/>
      <c r="E58" s="199"/>
      <c r="F58" s="53"/>
      <c r="H58" s="199"/>
      <c r="I58" s="53"/>
    </row>
    <row r="59" spans="1:18">
      <c r="A59" t="s">
        <v>610</v>
      </c>
      <c r="B59" s="199">
        <f>SUM(B34:B57)</f>
        <v>20597</v>
      </c>
      <c r="C59" s="53">
        <f>SUM(C34:C57)</f>
        <v>99702.989999999991</v>
      </c>
      <c r="D59" s="53">
        <f>+C59/B59</f>
        <v>4.8406559207651592</v>
      </c>
      <c r="E59" s="199">
        <f>SUM(E34:E57)</f>
        <v>4980</v>
      </c>
      <c r="F59" s="53">
        <f>SUM(F34:F57)</f>
        <v>24735.870000000003</v>
      </c>
      <c r="G59" s="53">
        <f>+F59/E59</f>
        <v>4.9670421686746993</v>
      </c>
      <c r="H59" s="199">
        <f>SUM(H34:H57)</f>
        <v>628</v>
      </c>
      <c r="I59" s="53">
        <f>SUM(I34:I57)</f>
        <v>3085.0899999999997</v>
      </c>
      <c r="J59" s="53">
        <f>+I59/H59</f>
        <v>4.912563694267515</v>
      </c>
    </row>
    <row r="60" spans="1:18">
      <c r="B60" s="199"/>
      <c r="C60" s="53"/>
      <c r="E60" s="199"/>
      <c r="F60" s="53"/>
      <c r="H60" s="199"/>
      <c r="I60" s="53"/>
    </row>
    <row r="61" spans="1:18">
      <c r="A61" s="18"/>
      <c r="B61" s="254"/>
      <c r="C61" s="256"/>
      <c r="D61" s="256"/>
      <c r="E61" s="254"/>
      <c r="F61" s="256"/>
      <c r="G61" s="256"/>
      <c r="H61" s="254"/>
      <c r="I61" s="256"/>
      <c r="J61" s="256"/>
    </row>
    <row r="62" spans="1:18">
      <c r="A62" s="18"/>
      <c r="B62" s="254"/>
      <c r="C62" s="256"/>
      <c r="D62" s="256"/>
      <c r="E62" s="254"/>
      <c r="F62" s="256"/>
      <c r="G62" s="256"/>
      <c r="H62" s="18"/>
    </row>
    <row r="63" spans="1:18">
      <c r="B63" s="254"/>
      <c r="C63" s="256"/>
      <c r="D63" s="256"/>
      <c r="E63" s="254"/>
      <c r="F63" s="256"/>
      <c r="G63" s="256"/>
      <c r="H63" s="18"/>
    </row>
    <row r="64" spans="1:18">
      <c r="B64" s="254"/>
      <c r="C64" s="256"/>
      <c r="D64" s="18"/>
      <c r="E64" s="254"/>
      <c r="F64" s="256"/>
      <c r="G64" s="18"/>
      <c r="H64" s="18"/>
    </row>
    <row r="65" spans="2:8">
      <c r="B65" s="254"/>
      <c r="C65" s="254"/>
      <c r="D65" s="256"/>
      <c r="E65" s="254"/>
      <c r="F65" s="254"/>
      <c r="G65" s="256"/>
      <c r="H65" s="18"/>
    </row>
    <row r="66" spans="2:8">
      <c r="B66" s="18"/>
      <c r="C66" s="18"/>
      <c r="D66" s="18"/>
      <c r="E66" s="18"/>
      <c r="F66" s="18"/>
      <c r="G66" s="18"/>
      <c r="H66" s="18"/>
    </row>
    <row r="67" spans="2:8">
      <c r="B67" s="18"/>
      <c r="C67" s="18"/>
      <c r="D67" s="256"/>
      <c r="E67" s="18"/>
      <c r="F67" s="18"/>
      <c r="G67" s="256"/>
      <c r="H67" s="18"/>
    </row>
    <row r="68" spans="2:8">
      <c r="B68" s="18"/>
      <c r="C68" s="255"/>
      <c r="D68" s="254"/>
      <c r="E68" s="18"/>
      <c r="F68" s="255"/>
      <c r="G68" s="254"/>
      <c r="H68" s="18"/>
    </row>
    <row r="69" spans="2:8">
      <c r="B69" s="18"/>
      <c r="C69" s="18"/>
      <c r="D69" s="18"/>
      <c r="E69" s="18"/>
      <c r="F69" s="18"/>
      <c r="G69" s="18"/>
      <c r="H69" s="18"/>
    </row>
    <row r="70" spans="2:8">
      <c r="H70" s="18"/>
    </row>
    <row r="71" spans="2:8">
      <c r="H71" s="18"/>
    </row>
    <row r="72" spans="2:8">
      <c r="H72" s="18"/>
    </row>
    <row r="73" spans="2:8">
      <c r="H73" s="18"/>
    </row>
    <row r="74" spans="2:8">
      <c r="H74" s="18"/>
    </row>
    <row r="75" spans="2:8">
      <c r="H75" s="18"/>
    </row>
    <row r="76" spans="2:8">
      <c r="B76" s="18"/>
      <c r="C76" s="18"/>
      <c r="D76" s="18"/>
      <c r="E76" s="18"/>
      <c r="F76" s="18"/>
      <c r="G76" s="18"/>
      <c r="H76" s="18"/>
    </row>
  </sheetData>
  <mergeCells count="1">
    <mergeCell ref="H30:J30"/>
  </mergeCells>
  <pageMargins left="0.22" right="0.25" top="0.23" bottom="0.31" header="0.2" footer="0.28999999999999998"/>
  <pageSetup scale="78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1"/>
  <sheetViews>
    <sheetView workbookViewId="0">
      <selection activeCell="E4" sqref="E4"/>
    </sheetView>
  </sheetViews>
  <sheetFormatPr defaultRowHeight="12.75"/>
  <cols>
    <col min="1" max="1" width="18.42578125" customWidth="1"/>
    <col min="15" max="15" width="10.7109375" customWidth="1"/>
    <col min="16" max="16" width="10" customWidth="1"/>
    <col min="18" max="18" width="10.140625" customWidth="1"/>
  </cols>
  <sheetData>
    <row r="1" spans="1:17">
      <c r="A1" t="str">
        <f>+'City Contracts'!A1</f>
        <v>Zippy Disposal Service, Inc.</v>
      </c>
    </row>
    <row r="3" spans="1:17">
      <c r="A3" t="s">
        <v>663</v>
      </c>
      <c r="D3" s="643" t="s">
        <v>1342</v>
      </c>
      <c r="E3" s="647" t="s">
        <v>689</v>
      </c>
    </row>
    <row r="5" spans="1:17">
      <c r="A5" s="642" t="s">
        <v>1402</v>
      </c>
    </row>
    <row r="7" spans="1:17">
      <c r="A7" s="127" t="s">
        <v>652</v>
      </c>
      <c r="G7" s="127" t="s">
        <v>662</v>
      </c>
      <c r="L7" s="127" t="s">
        <v>650</v>
      </c>
    </row>
    <row r="8" spans="1:17">
      <c r="A8" s="2"/>
      <c r="B8" s="2"/>
      <c r="C8" s="2"/>
      <c r="D8" s="2" t="s">
        <v>644</v>
      </c>
      <c r="E8" s="2" t="s">
        <v>649</v>
      </c>
      <c r="F8" s="2"/>
      <c r="G8" s="2"/>
      <c r="H8" s="2"/>
      <c r="I8" s="2"/>
      <c r="J8" s="2" t="s">
        <v>644</v>
      </c>
      <c r="K8" s="2"/>
      <c r="L8" s="2"/>
      <c r="M8" s="2"/>
      <c r="N8" s="2"/>
      <c r="O8" s="2" t="s">
        <v>644</v>
      </c>
      <c r="P8" s="2"/>
      <c r="Q8" s="2"/>
    </row>
    <row r="9" spans="1:17" ht="13.5" thickBot="1">
      <c r="A9" s="261" t="s">
        <v>584</v>
      </c>
      <c r="B9" s="20" t="s">
        <v>643</v>
      </c>
      <c r="C9" s="20" t="s">
        <v>573</v>
      </c>
      <c r="D9" s="20" t="s">
        <v>642</v>
      </c>
      <c r="E9" s="20" t="s">
        <v>648</v>
      </c>
      <c r="F9" s="2"/>
      <c r="G9" s="261" t="s">
        <v>584</v>
      </c>
      <c r="H9" s="20" t="s">
        <v>643</v>
      </c>
      <c r="I9" s="20" t="s">
        <v>573</v>
      </c>
      <c r="J9" s="20" t="s">
        <v>642</v>
      </c>
      <c r="K9" s="2"/>
      <c r="L9" s="261" t="s">
        <v>584</v>
      </c>
      <c r="M9" s="20" t="s">
        <v>643</v>
      </c>
      <c r="N9" s="20" t="s">
        <v>573</v>
      </c>
      <c r="O9" s="20" t="s">
        <v>642</v>
      </c>
      <c r="P9" s="93"/>
      <c r="Q9" s="128"/>
    </row>
    <row r="11" spans="1:17">
      <c r="A11" s="199" t="str">
        <f>'Fuel Summary'!A11</f>
        <v>October</v>
      </c>
      <c r="B11" s="199">
        <f>'Fuel Summary'!B11</f>
        <v>0</v>
      </c>
      <c r="C11" s="53">
        <f>'Fuel Summary'!C11</f>
        <v>0</v>
      </c>
      <c r="D11" s="53">
        <f t="shared" ref="D11:D22" si="0">IF(+B11=0,0,C11/B11)</f>
        <v>0</v>
      </c>
      <c r="E11" s="53"/>
      <c r="G11" t="str">
        <f t="shared" ref="G11:G22" si="1">+A11</f>
        <v>October</v>
      </c>
      <c r="H11" s="199">
        <f>'Fuel Summary'!H11</f>
        <v>0</v>
      </c>
      <c r="I11" s="53">
        <f>'Fuel Summary'!I11</f>
        <v>0</v>
      </c>
      <c r="J11" s="53">
        <f t="shared" ref="J11:J22" si="2">IF(+H11=0,0,I11/H11)</f>
        <v>0</v>
      </c>
      <c r="L11" t="str">
        <f t="shared" ref="L11:L22" si="3">+G11</f>
        <v>October</v>
      </c>
      <c r="M11" s="199">
        <f>'Fuel Summary'!N11</f>
        <v>0</v>
      </c>
      <c r="N11" s="53">
        <f>'Fuel Summary'!O11</f>
        <v>0</v>
      </c>
      <c r="O11" s="53">
        <f t="shared" ref="O11:O22" si="4">IF(+M11=0,0,N11/M11)</f>
        <v>0</v>
      </c>
      <c r="Q11" s="53"/>
    </row>
    <row r="12" spans="1:17">
      <c r="A12" s="199" t="str">
        <f>'Fuel Summary'!A12</f>
        <v>November</v>
      </c>
      <c r="B12" s="199">
        <f>'Fuel Summary'!B12</f>
        <v>0</v>
      </c>
      <c r="C12" s="53">
        <f>'Fuel Summary'!C12</f>
        <v>0</v>
      </c>
      <c r="D12" s="53">
        <f t="shared" si="0"/>
        <v>0</v>
      </c>
      <c r="E12" s="53"/>
      <c r="G12" t="str">
        <f t="shared" si="1"/>
        <v>November</v>
      </c>
      <c r="H12" s="199">
        <f>'Fuel Summary'!H12</f>
        <v>0</v>
      </c>
      <c r="I12" s="53">
        <f>'Fuel Summary'!I12</f>
        <v>0</v>
      </c>
      <c r="J12" s="53">
        <f t="shared" si="2"/>
        <v>0</v>
      </c>
      <c r="L12" t="str">
        <f t="shared" si="3"/>
        <v>November</v>
      </c>
      <c r="M12" s="199">
        <f>'Fuel Summary'!N12</f>
        <v>0</v>
      </c>
      <c r="N12" s="53">
        <f>'Fuel Summary'!O12</f>
        <v>0</v>
      </c>
      <c r="O12" s="53">
        <f t="shared" si="4"/>
        <v>0</v>
      </c>
      <c r="Q12" s="53"/>
    </row>
    <row r="13" spans="1:17">
      <c r="A13" s="199" t="str">
        <f>'Fuel Summary'!A13</f>
        <v>December</v>
      </c>
      <c r="B13" s="199">
        <f>'Fuel Summary'!B13</f>
        <v>0</v>
      </c>
      <c r="C13" s="53">
        <f>'Fuel Summary'!C13</f>
        <v>0</v>
      </c>
      <c r="D13" s="53">
        <f t="shared" si="0"/>
        <v>0</v>
      </c>
      <c r="E13" s="53"/>
      <c r="G13" t="str">
        <f t="shared" si="1"/>
        <v>December</v>
      </c>
      <c r="H13" s="199">
        <f>'Fuel Summary'!H13</f>
        <v>0</v>
      </c>
      <c r="I13" s="53">
        <f>'Fuel Summary'!I13</f>
        <v>0</v>
      </c>
      <c r="J13" s="53">
        <f t="shared" si="2"/>
        <v>0</v>
      </c>
      <c r="L13" t="str">
        <f t="shared" si="3"/>
        <v>December</v>
      </c>
      <c r="M13" s="199">
        <f>'Fuel Summary'!N13</f>
        <v>66</v>
      </c>
      <c r="N13" s="53">
        <f>'Fuel Summary'!O13</f>
        <v>307.27999999999997</v>
      </c>
      <c r="O13" s="53">
        <f t="shared" si="4"/>
        <v>4.6557575757575753</v>
      </c>
      <c r="Q13" s="53"/>
    </row>
    <row r="14" spans="1:17">
      <c r="A14" s="199" t="str">
        <f>'Fuel Summary'!A14</f>
        <v>January</v>
      </c>
      <c r="B14" s="199">
        <f>'Fuel Summary'!B14</f>
        <v>0</v>
      </c>
      <c r="C14" s="53">
        <f>'Fuel Summary'!C14</f>
        <v>0</v>
      </c>
      <c r="D14" s="53">
        <f t="shared" si="0"/>
        <v>0</v>
      </c>
      <c r="E14" s="53"/>
      <c r="G14" t="str">
        <f t="shared" si="1"/>
        <v>January</v>
      </c>
      <c r="H14" s="199">
        <f>'Fuel Summary'!H14</f>
        <v>0</v>
      </c>
      <c r="I14" s="53">
        <f>'Fuel Summary'!I14</f>
        <v>0</v>
      </c>
      <c r="J14" s="53">
        <f t="shared" si="2"/>
        <v>0</v>
      </c>
      <c r="L14" t="str">
        <f t="shared" si="3"/>
        <v>January</v>
      </c>
      <c r="M14" s="199">
        <f>'Fuel Summary'!N14</f>
        <v>0</v>
      </c>
      <c r="N14" s="53">
        <f>'Fuel Summary'!O14</f>
        <v>0</v>
      </c>
      <c r="O14" s="53">
        <f t="shared" si="4"/>
        <v>0</v>
      </c>
      <c r="Q14" s="53"/>
    </row>
    <row r="15" spans="1:17">
      <c r="A15" s="199" t="str">
        <f>'Fuel Summary'!A15</f>
        <v>February</v>
      </c>
      <c r="B15" s="199">
        <f>'Fuel Summary'!B15</f>
        <v>0</v>
      </c>
      <c r="C15" s="53">
        <f>'Fuel Summary'!C15</f>
        <v>0</v>
      </c>
      <c r="D15" s="53">
        <f t="shared" si="0"/>
        <v>0</v>
      </c>
      <c r="E15" s="53"/>
      <c r="G15" t="str">
        <f t="shared" si="1"/>
        <v>February</v>
      </c>
      <c r="H15" s="199">
        <f>'Fuel Summary'!H15</f>
        <v>0</v>
      </c>
      <c r="I15" s="53">
        <f>'Fuel Summary'!I15</f>
        <v>0</v>
      </c>
      <c r="J15" s="53">
        <f t="shared" si="2"/>
        <v>0</v>
      </c>
      <c r="L15" t="str">
        <f t="shared" si="3"/>
        <v>February</v>
      </c>
      <c r="M15" s="199">
        <f>'Fuel Summary'!N15</f>
        <v>0</v>
      </c>
      <c r="N15" s="53">
        <f>'Fuel Summary'!O15</f>
        <v>0</v>
      </c>
      <c r="O15" s="53">
        <f t="shared" si="4"/>
        <v>0</v>
      </c>
      <c r="Q15" s="53"/>
    </row>
    <row r="16" spans="1:17">
      <c r="A16" s="199" t="str">
        <f>'Fuel Summary'!A16</f>
        <v>March</v>
      </c>
      <c r="B16" s="199">
        <f>'Fuel Summary'!B16</f>
        <v>0</v>
      </c>
      <c r="C16" s="53">
        <f>'Fuel Summary'!C16</f>
        <v>0</v>
      </c>
      <c r="D16" s="53">
        <f t="shared" si="0"/>
        <v>0</v>
      </c>
      <c r="E16" s="53"/>
      <c r="G16" t="str">
        <f t="shared" si="1"/>
        <v>March</v>
      </c>
      <c r="H16" s="199">
        <f>'Fuel Summary'!H16</f>
        <v>0</v>
      </c>
      <c r="I16" s="53">
        <f>'Fuel Summary'!I16</f>
        <v>0</v>
      </c>
      <c r="J16" s="53">
        <f t="shared" si="2"/>
        <v>0</v>
      </c>
      <c r="L16" t="str">
        <f t="shared" si="3"/>
        <v>March</v>
      </c>
      <c r="M16" s="199">
        <f>'Fuel Summary'!N16</f>
        <v>118</v>
      </c>
      <c r="N16" s="53">
        <f>'Fuel Summary'!O16</f>
        <v>503.5</v>
      </c>
      <c r="O16" s="53">
        <f t="shared" si="4"/>
        <v>4.2669491525423728</v>
      </c>
      <c r="Q16" s="53"/>
    </row>
    <row r="17" spans="1:17">
      <c r="A17" s="199" t="str">
        <f>'Fuel Summary'!A17</f>
        <v>April</v>
      </c>
      <c r="B17" s="199">
        <f>'Fuel Summary'!B17</f>
        <v>0</v>
      </c>
      <c r="C17" s="53">
        <f>'Fuel Summary'!C17</f>
        <v>0</v>
      </c>
      <c r="D17" s="53">
        <f t="shared" si="0"/>
        <v>0</v>
      </c>
      <c r="E17" s="53"/>
      <c r="G17" t="str">
        <f t="shared" si="1"/>
        <v>April</v>
      </c>
      <c r="H17" s="199">
        <f>'Fuel Summary'!H17</f>
        <v>0</v>
      </c>
      <c r="I17" s="53">
        <f>'Fuel Summary'!I17</f>
        <v>0</v>
      </c>
      <c r="J17" s="53">
        <f t="shared" si="2"/>
        <v>0</v>
      </c>
      <c r="L17" t="str">
        <f t="shared" si="3"/>
        <v>April</v>
      </c>
      <c r="M17" s="199">
        <f>'Fuel Summary'!N17</f>
        <v>0</v>
      </c>
      <c r="N17" s="53">
        <f>'Fuel Summary'!O17</f>
        <v>0</v>
      </c>
      <c r="O17" s="53">
        <f t="shared" si="4"/>
        <v>0</v>
      </c>
      <c r="Q17" s="53"/>
    </row>
    <row r="18" spans="1:17">
      <c r="A18" s="199" t="str">
        <f>'Fuel Summary'!A18</f>
        <v>May</v>
      </c>
      <c r="B18" s="199">
        <f>'Fuel Summary'!B18</f>
        <v>0</v>
      </c>
      <c r="C18" s="53">
        <f>'Fuel Summary'!C18</f>
        <v>0</v>
      </c>
      <c r="D18" s="53">
        <f t="shared" si="0"/>
        <v>0</v>
      </c>
      <c r="E18" s="53"/>
      <c r="G18" t="str">
        <f t="shared" si="1"/>
        <v>May</v>
      </c>
      <c r="H18" s="199">
        <f>'Fuel Summary'!H18</f>
        <v>0</v>
      </c>
      <c r="I18" s="53">
        <f>'Fuel Summary'!I18</f>
        <v>0</v>
      </c>
      <c r="J18" s="53">
        <f t="shared" si="2"/>
        <v>0</v>
      </c>
      <c r="L18" t="str">
        <f t="shared" si="3"/>
        <v>May</v>
      </c>
      <c r="M18" s="199">
        <f>'Fuel Summary'!N18</f>
        <v>0</v>
      </c>
      <c r="N18" s="53">
        <f>'Fuel Summary'!O18</f>
        <v>0</v>
      </c>
      <c r="O18" s="53">
        <f t="shared" si="4"/>
        <v>0</v>
      </c>
      <c r="Q18" s="53"/>
    </row>
    <row r="19" spans="1:17">
      <c r="A19" s="199" t="str">
        <f>'Fuel Summary'!A19</f>
        <v>June</v>
      </c>
      <c r="B19" s="199">
        <f>'Fuel Summary'!B19</f>
        <v>0</v>
      </c>
      <c r="C19" s="53">
        <f>'Fuel Summary'!C19</f>
        <v>0</v>
      </c>
      <c r="D19" s="53">
        <f t="shared" si="0"/>
        <v>0</v>
      </c>
      <c r="E19" s="53">
        <v>0</v>
      </c>
      <c r="G19" t="str">
        <f t="shared" si="1"/>
        <v>June</v>
      </c>
      <c r="H19" s="199">
        <f>'Fuel Summary'!H19</f>
        <v>0</v>
      </c>
      <c r="I19" s="53">
        <f>'Fuel Summary'!I19</f>
        <v>0</v>
      </c>
      <c r="J19" s="53">
        <f t="shared" si="2"/>
        <v>0</v>
      </c>
      <c r="L19" t="str">
        <f t="shared" si="3"/>
        <v>June</v>
      </c>
      <c r="M19" s="199">
        <f>'Fuel Summary'!N19</f>
        <v>132</v>
      </c>
      <c r="N19" s="53">
        <f>'Fuel Summary'!O19</f>
        <v>667.82</v>
      </c>
      <c r="O19" s="53">
        <f t="shared" si="4"/>
        <v>5.0592424242424245</v>
      </c>
      <c r="Q19" s="53"/>
    </row>
    <row r="20" spans="1:17">
      <c r="A20" s="199" t="str">
        <f>'Fuel Summary'!A20</f>
        <v>July</v>
      </c>
      <c r="B20" s="199">
        <f>'Fuel Summary'!B20</f>
        <v>0</v>
      </c>
      <c r="C20" s="53">
        <f>'Fuel Summary'!C20</f>
        <v>0</v>
      </c>
      <c r="D20" s="53">
        <f t="shared" si="0"/>
        <v>0</v>
      </c>
      <c r="E20" s="53"/>
      <c r="G20" t="str">
        <f t="shared" si="1"/>
        <v>July</v>
      </c>
      <c r="H20" s="199">
        <f>'Fuel Summary'!H20</f>
        <v>0</v>
      </c>
      <c r="I20" s="53">
        <f>'Fuel Summary'!I20</f>
        <v>0</v>
      </c>
      <c r="J20" s="53">
        <f t="shared" si="2"/>
        <v>0</v>
      </c>
      <c r="L20" t="str">
        <f t="shared" si="3"/>
        <v>July</v>
      </c>
      <c r="M20" s="199">
        <f>'Fuel Summary'!N20</f>
        <v>65</v>
      </c>
      <c r="N20" s="53">
        <f>'Fuel Summary'!O20</f>
        <v>345.48</v>
      </c>
      <c r="O20" s="53">
        <f t="shared" si="4"/>
        <v>5.3150769230769237</v>
      </c>
      <c r="Q20" s="53"/>
    </row>
    <row r="21" spans="1:17">
      <c r="A21" s="199" t="str">
        <f>'Fuel Summary'!A21</f>
        <v>August</v>
      </c>
      <c r="B21" s="199">
        <f>'Fuel Summary'!B21</f>
        <v>0</v>
      </c>
      <c r="C21" s="53">
        <f>'Fuel Summary'!C21</f>
        <v>0</v>
      </c>
      <c r="D21" s="53">
        <f t="shared" si="0"/>
        <v>0</v>
      </c>
      <c r="E21" s="53"/>
      <c r="G21" t="str">
        <f t="shared" si="1"/>
        <v>August</v>
      </c>
      <c r="H21" s="199">
        <f>'Fuel Summary'!H21</f>
        <v>0</v>
      </c>
      <c r="I21" s="53">
        <f>'Fuel Summary'!I21</f>
        <v>0</v>
      </c>
      <c r="J21" s="53">
        <f t="shared" si="2"/>
        <v>0</v>
      </c>
      <c r="L21" t="str">
        <f t="shared" si="3"/>
        <v>August</v>
      </c>
      <c r="M21" s="199">
        <f>'Fuel Summary'!N21</f>
        <v>39</v>
      </c>
      <c r="N21" s="53">
        <f>'Fuel Summary'!O21</f>
        <v>183.54</v>
      </c>
      <c r="O21" s="53">
        <f t="shared" si="4"/>
        <v>4.7061538461538461</v>
      </c>
      <c r="Q21" s="53"/>
    </row>
    <row r="22" spans="1:17" ht="13.5" thickBot="1">
      <c r="A22" s="263" t="str">
        <f>'Fuel Summary'!A22</f>
        <v>September</v>
      </c>
      <c r="B22" s="263">
        <f>'Fuel Summary'!B22</f>
        <v>0</v>
      </c>
      <c r="C22" s="224">
        <f>'Fuel Summary'!C22</f>
        <v>0</v>
      </c>
      <c r="D22" s="224">
        <f t="shared" si="0"/>
        <v>0</v>
      </c>
      <c r="E22" s="224"/>
      <c r="G22" t="str">
        <f t="shared" si="1"/>
        <v>September</v>
      </c>
      <c r="H22" s="263">
        <f>'Fuel Summary'!H22</f>
        <v>0</v>
      </c>
      <c r="I22" s="224">
        <f>'Fuel Summary'!I22</f>
        <v>0</v>
      </c>
      <c r="J22" s="224">
        <f t="shared" si="2"/>
        <v>0</v>
      </c>
      <c r="L22" t="str">
        <f t="shared" si="3"/>
        <v>September</v>
      </c>
      <c r="M22" s="263">
        <f>'Fuel Summary'!N22</f>
        <v>42</v>
      </c>
      <c r="N22" s="224">
        <f>'Fuel Summary'!O22</f>
        <v>193.27</v>
      </c>
      <c r="O22" s="224">
        <f t="shared" si="4"/>
        <v>4.6016666666666666</v>
      </c>
      <c r="P22" s="18"/>
      <c r="Q22" s="256"/>
    </row>
    <row r="23" spans="1:17">
      <c r="B23" s="199"/>
      <c r="C23" s="53"/>
      <c r="H23" s="199"/>
      <c r="I23" s="53"/>
      <c r="J23" s="53"/>
      <c r="M23" s="199"/>
      <c r="N23" s="53"/>
    </row>
    <row r="24" spans="1:17" ht="13.5" thickBot="1">
      <c r="A24" s="13" t="s">
        <v>610</v>
      </c>
      <c r="B24" s="264">
        <f>SUM(B11:B22)</f>
        <v>0</v>
      </c>
      <c r="C24" s="259">
        <f>SUM(C11:C22)</f>
        <v>0</v>
      </c>
      <c r="D24" s="259" t="e">
        <f>+C24/B24</f>
        <v>#DIV/0!</v>
      </c>
      <c r="E24" s="259">
        <f>SUM(E11:E22)</f>
        <v>0</v>
      </c>
      <c r="G24" s="13"/>
      <c r="H24" s="264">
        <f>SUM(H11:H22)</f>
        <v>0</v>
      </c>
      <c r="I24" s="259">
        <f>SUM(I11:I22)</f>
        <v>0</v>
      </c>
      <c r="J24" s="259" t="e">
        <f>+I24/H24</f>
        <v>#DIV/0!</v>
      </c>
      <c r="L24" s="13"/>
      <c r="M24" s="264">
        <f>SUM(M11:M22)</f>
        <v>462</v>
      </c>
      <c r="N24" s="259">
        <f>SUM(N11:N22)</f>
        <v>2200.89</v>
      </c>
      <c r="O24" s="259">
        <f>+N24/M24</f>
        <v>4.7638311688311683</v>
      </c>
      <c r="P24" s="53"/>
      <c r="Q24" s="256"/>
    </row>
    <row r="25" spans="1:17" ht="13.5" thickTop="1">
      <c r="B25" s="199"/>
      <c r="C25" s="53"/>
      <c r="H25" s="199"/>
      <c r="I25" s="53"/>
      <c r="J25" s="53"/>
      <c r="M25" s="199"/>
      <c r="N25" s="53"/>
    </row>
    <row r="26" spans="1:17">
      <c r="A26" t="s">
        <v>513</v>
      </c>
      <c r="B26" s="199">
        <v>0</v>
      </c>
      <c r="C26" s="53">
        <v>0</v>
      </c>
      <c r="D26" s="53">
        <f>IF(+B26=0,0,C26/B26)</f>
        <v>0</v>
      </c>
      <c r="E26" s="53"/>
      <c r="G26" t="str">
        <f>+A26</f>
        <v>January</v>
      </c>
      <c r="H26" s="199">
        <v>0</v>
      </c>
      <c r="I26" s="53">
        <v>0</v>
      </c>
      <c r="J26" s="53">
        <f>IF(+H26=0,0,I26/H26)</f>
        <v>0</v>
      </c>
      <c r="L26" t="str">
        <f>+G26</f>
        <v>January</v>
      </c>
      <c r="M26" s="199">
        <v>0</v>
      </c>
      <c r="N26" s="53">
        <v>0</v>
      </c>
      <c r="O26" s="53">
        <f>IF(+M26=0,0,N26/M26)</f>
        <v>0</v>
      </c>
    </row>
    <row r="27" spans="1:17">
      <c r="A27" t="s">
        <v>512</v>
      </c>
      <c r="B27" s="199">
        <v>0</v>
      </c>
      <c r="C27" s="53">
        <v>0</v>
      </c>
      <c r="D27" s="53">
        <f>IF(+B27=0,0,C27/B27)</f>
        <v>0</v>
      </c>
      <c r="E27" s="53"/>
      <c r="G27" t="str">
        <f>+A27</f>
        <v>February</v>
      </c>
      <c r="H27" s="199">
        <v>0</v>
      </c>
      <c r="I27" s="53">
        <v>0</v>
      </c>
      <c r="J27" s="53">
        <f>IF(+H27=0,0,I27/H27)</f>
        <v>0</v>
      </c>
      <c r="L27" s="18" t="str">
        <f>+G27</f>
        <v>February</v>
      </c>
      <c r="M27" s="199">
        <v>0</v>
      </c>
      <c r="N27" s="53">
        <v>0</v>
      </c>
      <c r="O27" s="53">
        <f>IF(+M27=0,0,N27/M27)</f>
        <v>0</v>
      </c>
    </row>
    <row r="28" spans="1:17" ht="13.5" thickBot="1">
      <c r="A28" s="5" t="s">
        <v>511</v>
      </c>
      <c r="B28" s="263"/>
      <c r="C28" s="224">
        <v>0</v>
      </c>
      <c r="D28" s="224">
        <f>IF(+B28=0,0,C28/B28)</f>
        <v>0</v>
      </c>
      <c r="E28" s="224"/>
      <c r="G28" s="5" t="str">
        <f>+A28</f>
        <v>March</v>
      </c>
      <c r="H28" s="263">
        <v>0</v>
      </c>
      <c r="I28" s="224">
        <v>0</v>
      </c>
      <c r="J28" s="224">
        <f>IF(+H28=0,0,I28/H28)</f>
        <v>0</v>
      </c>
      <c r="K28" s="18"/>
      <c r="L28" s="5" t="str">
        <f>+G28</f>
        <v>March</v>
      </c>
      <c r="M28" s="263">
        <v>0</v>
      </c>
      <c r="N28" s="224">
        <v>0</v>
      </c>
      <c r="O28" s="224">
        <f>IF(+M28=0,0,N28/M28)</f>
        <v>0</v>
      </c>
      <c r="P28" s="18"/>
      <c r="Q28" s="18"/>
    </row>
    <row r="30" spans="1:17" ht="13.5" thickBot="1">
      <c r="A30" s="13" t="s">
        <v>656</v>
      </c>
      <c r="B30" s="264">
        <f>+SUM(B13:B22)+SUM(B26:B27)</f>
        <v>0</v>
      </c>
      <c r="C30" s="259">
        <f>+SUM(C13:C22)+SUM(C26:C27)</f>
        <v>0</v>
      </c>
      <c r="D30" s="259" t="e">
        <f>+C30/B30</f>
        <v>#DIV/0!</v>
      </c>
      <c r="E30" s="13"/>
      <c r="G30" s="13"/>
      <c r="H30" s="264">
        <f>+SUM(H13:H22)+SUM(H26:H27)</f>
        <v>0</v>
      </c>
      <c r="I30" s="259">
        <f>+SUM(I13:I22)+SUM(I26:I27)</f>
        <v>0</v>
      </c>
      <c r="J30" s="259" t="e">
        <f>+I30/H30</f>
        <v>#DIV/0!</v>
      </c>
      <c r="L30" s="13"/>
      <c r="M30" s="264">
        <f>M24</f>
        <v>462</v>
      </c>
      <c r="N30" s="259">
        <f>N24</f>
        <v>2200.89</v>
      </c>
      <c r="O30" s="259">
        <f>+N30/M30</f>
        <v>4.7638311688311683</v>
      </c>
    </row>
    <row r="31" spans="1:17" ht="13.5" thickTop="1"/>
    <row r="32" spans="1:17">
      <c r="A32" s="127" t="s">
        <v>647</v>
      </c>
    </row>
    <row r="33" spans="1:18">
      <c r="B33" s="262" t="s">
        <v>646</v>
      </c>
      <c r="C33" s="262"/>
      <c r="D33" s="262"/>
      <c r="E33" s="262" t="s">
        <v>645</v>
      </c>
      <c r="F33" s="262"/>
      <c r="G33" s="262"/>
      <c r="H33" s="268" t="s">
        <v>339</v>
      </c>
      <c r="I33" s="268"/>
      <c r="J33" s="262"/>
    </row>
    <row r="34" spans="1:18">
      <c r="A34" s="2"/>
      <c r="B34" s="2"/>
      <c r="C34" s="2"/>
      <c r="D34" s="2" t="s">
        <v>644</v>
      </c>
      <c r="E34" s="2"/>
      <c r="F34" s="2"/>
      <c r="G34" s="2" t="s">
        <v>644</v>
      </c>
      <c r="H34" s="2"/>
      <c r="I34" s="2"/>
      <c r="J34" s="2" t="s">
        <v>644</v>
      </c>
    </row>
    <row r="35" spans="1:18" ht="13.5" thickBot="1">
      <c r="A35" s="261" t="s">
        <v>584</v>
      </c>
      <c r="B35" s="20" t="s">
        <v>643</v>
      </c>
      <c r="C35" s="20" t="s">
        <v>573</v>
      </c>
      <c r="D35" s="20" t="s">
        <v>642</v>
      </c>
      <c r="E35" s="20" t="s">
        <v>643</v>
      </c>
      <c r="F35" s="20" t="s">
        <v>573</v>
      </c>
      <c r="G35" s="20" t="s">
        <v>642</v>
      </c>
      <c r="H35" s="20" t="s">
        <v>643</v>
      </c>
      <c r="I35" s="20" t="s">
        <v>573</v>
      </c>
      <c r="J35" s="20" t="s">
        <v>642</v>
      </c>
    </row>
    <row r="36" spans="1:18">
      <c r="P36" s="2" t="s">
        <v>635</v>
      </c>
      <c r="Q36" s="2" t="s">
        <v>635</v>
      </c>
      <c r="R36" s="2" t="s">
        <v>635</v>
      </c>
    </row>
    <row r="37" spans="1:18" ht="13.5" thickBot="1">
      <c r="A37" s="199" t="str">
        <f>'Fuel Summary'!A34</f>
        <v>October 15</v>
      </c>
      <c r="B37" s="199">
        <f>'Fuel Summary'!B34</f>
        <v>905</v>
      </c>
      <c r="C37" s="53">
        <f>'Fuel Summary'!C34</f>
        <v>3261.66</v>
      </c>
      <c r="D37" s="53">
        <f t="shared" ref="D37:D42" si="5">IF(+B37=0,0,C37/B37)</f>
        <v>3.6040441988950276</v>
      </c>
      <c r="E37" s="199">
        <f>'Fuel Summary'!E34</f>
        <v>270</v>
      </c>
      <c r="F37" s="53">
        <f>'Fuel Summary'!F34</f>
        <v>1005.68</v>
      </c>
      <c r="G37" s="53">
        <f t="shared" ref="G37:G42" si="6">IF(+E37=0,0,F37/E37)</f>
        <v>3.7247407407407405</v>
      </c>
      <c r="H37" s="199">
        <f>'Fuel Summary'!H34</f>
        <v>35</v>
      </c>
      <c r="I37" s="53">
        <f>'Fuel Summary'!I34</f>
        <v>130.19999999999999</v>
      </c>
      <c r="J37" s="53">
        <f t="shared" ref="J37:J42" si="7">IF(+H37=0,0,I37/H37)</f>
        <v>3.7199999999999998</v>
      </c>
      <c r="K37" s="53">
        <f t="shared" ref="K37:K42" si="8">+C37+F37</f>
        <v>4267.34</v>
      </c>
      <c r="P37" s="5"/>
      <c r="Q37" s="20" t="s">
        <v>262</v>
      </c>
      <c r="R37" s="92" t="s">
        <v>339</v>
      </c>
    </row>
    <row r="38" spans="1:18">
      <c r="A38" s="199" t="str">
        <f>'Fuel Summary'!A35</f>
        <v>October 31</v>
      </c>
      <c r="B38" s="199">
        <f>'Fuel Summary'!B35</f>
        <v>744</v>
      </c>
      <c r="C38" s="53">
        <f>'Fuel Summary'!C35</f>
        <v>2769.45</v>
      </c>
      <c r="D38" s="53">
        <f t="shared" si="5"/>
        <v>3.7223790322580643</v>
      </c>
      <c r="E38" s="199">
        <f>'Fuel Summary'!E35</f>
        <v>187</v>
      </c>
      <c r="F38" s="53">
        <f>'Fuel Summary'!F35</f>
        <v>703.35</v>
      </c>
      <c r="G38" s="53">
        <f t="shared" si="6"/>
        <v>3.7612299465240642</v>
      </c>
      <c r="H38" s="199">
        <f>'Fuel Summary'!H35</f>
        <v>27</v>
      </c>
      <c r="I38" s="53">
        <f>'Fuel Summary'!I35</f>
        <v>102.23</v>
      </c>
      <c r="J38" s="53">
        <f t="shared" si="7"/>
        <v>3.7862962962962965</v>
      </c>
      <c r="K38" s="53">
        <f t="shared" si="8"/>
        <v>3472.7999999999997</v>
      </c>
    </row>
    <row r="39" spans="1:18">
      <c r="A39" s="199" t="str">
        <f>'Fuel Summary'!A36</f>
        <v>November 15</v>
      </c>
      <c r="B39" s="199">
        <f>'Fuel Summary'!B36</f>
        <v>1010</v>
      </c>
      <c r="C39" s="53">
        <f>'Fuel Summary'!C36</f>
        <v>2701.76</v>
      </c>
      <c r="D39" s="53">
        <f t="shared" si="5"/>
        <v>2.6750099009900992</v>
      </c>
      <c r="E39" s="199">
        <f>'Fuel Summary'!E36</f>
        <v>251</v>
      </c>
      <c r="F39" s="53">
        <f>'Fuel Summary'!F36</f>
        <v>944.48</v>
      </c>
      <c r="G39" s="53">
        <f t="shared" si="6"/>
        <v>3.7628685258964145</v>
      </c>
      <c r="H39" s="199">
        <f>'Fuel Summary'!H36</f>
        <v>33</v>
      </c>
      <c r="I39" s="53">
        <f>'Fuel Summary'!I36</f>
        <v>123.15</v>
      </c>
      <c r="J39" s="53">
        <f t="shared" si="7"/>
        <v>3.7318181818181819</v>
      </c>
      <c r="K39" s="53">
        <f t="shared" si="8"/>
        <v>3646.2400000000002</v>
      </c>
      <c r="L39" t="s">
        <v>631</v>
      </c>
      <c r="P39" s="53">
        <f>+C24+I24+N24+C62</f>
        <v>101903.87999999999</v>
      </c>
      <c r="Q39" s="53">
        <f>+F62</f>
        <v>24735.870000000003</v>
      </c>
      <c r="R39" s="53">
        <f>I62</f>
        <v>3085.0899999999997</v>
      </c>
    </row>
    <row r="40" spans="1:18">
      <c r="A40" s="199" t="str">
        <f>'Fuel Summary'!A37</f>
        <v>November 30</v>
      </c>
      <c r="B40" s="199">
        <f>'Fuel Summary'!B37</f>
        <v>824</v>
      </c>
      <c r="C40" s="53">
        <f>'Fuel Summary'!C37</f>
        <v>3038.59</v>
      </c>
      <c r="D40" s="53">
        <f t="shared" si="5"/>
        <v>3.6876092233009712</v>
      </c>
      <c r="E40" s="199">
        <f>'Fuel Summary'!E37</f>
        <v>253</v>
      </c>
      <c r="F40" s="53">
        <f>'Fuel Summary'!F37</f>
        <v>949.89</v>
      </c>
      <c r="G40" s="53">
        <f t="shared" si="6"/>
        <v>3.7545059288537548</v>
      </c>
      <c r="H40" s="199">
        <f>'Fuel Summary'!H37</f>
        <v>0</v>
      </c>
      <c r="I40" s="53">
        <f>'Fuel Summary'!I37</f>
        <v>0</v>
      </c>
      <c r="J40" s="53">
        <f t="shared" si="7"/>
        <v>0</v>
      </c>
      <c r="K40" s="53">
        <f t="shared" si="8"/>
        <v>3988.48</v>
      </c>
    </row>
    <row r="41" spans="1:18">
      <c r="A41" s="199" t="str">
        <f>'Fuel Summary'!A38</f>
        <v>December 15</v>
      </c>
      <c r="B41" s="199">
        <f>'Fuel Summary'!B38</f>
        <v>776</v>
      </c>
      <c r="C41" s="53">
        <f>'Fuel Summary'!C38</f>
        <v>2894.55</v>
      </c>
      <c r="D41" s="53">
        <f t="shared" si="5"/>
        <v>3.7300902061855674</v>
      </c>
      <c r="E41" s="199">
        <f>'Fuel Summary'!E38</f>
        <v>208</v>
      </c>
      <c r="F41" s="53">
        <f>'Fuel Summary'!F38</f>
        <v>784.46</v>
      </c>
      <c r="G41" s="53">
        <f t="shared" si="6"/>
        <v>3.771442307692308</v>
      </c>
      <c r="H41" s="199">
        <f>'Fuel Summary'!H38</f>
        <v>14</v>
      </c>
      <c r="I41" s="53">
        <f>'Fuel Summary'!I38</f>
        <v>54.88</v>
      </c>
      <c r="J41" s="53">
        <f t="shared" si="7"/>
        <v>3.9200000000000004</v>
      </c>
      <c r="K41" s="53">
        <f t="shared" si="8"/>
        <v>3679.01</v>
      </c>
      <c r="L41" t="str">
        <f>+'Fuel Summary'!M45</f>
        <v>Green Petroleum-oil</v>
      </c>
      <c r="P41" s="53">
        <f>'Fuel Summary'!P45</f>
        <v>694.5</v>
      </c>
      <c r="Q41" s="53">
        <f>+'Fuel Summary'!Q44</f>
        <v>0</v>
      </c>
      <c r="R41" s="53">
        <f>+'Fuel Summary'!R45</f>
        <v>0</v>
      </c>
    </row>
    <row r="42" spans="1:18">
      <c r="A42" s="199" t="str">
        <f>'Fuel Summary'!A39</f>
        <v>December 31</v>
      </c>
      <c r="B42" s="199">
        <f>'Fuel Summary'!B39</f>
        <v>855</v>
      </c>
      <c r="C42" s="53">
        <f>'Fuel Summary'!C39</f>
        <v>3219.25</v>
      </c>
      <c r="D42" s="53">
        <f t="shared" si="5"/>
        <v>3.765204678362573</v>
      </c>
      <c r="E42" s="199">
        <f>'Fuel Summary'!E39</f>
        <v>188</v>
      </c>
      <c r="F42" s="53">
        <f>'Fuel Summary'!F39</f>
        <v>718.66</v>
      </c>
      <c r="G42" s="53">
        <f t="shared" si="6"/>
        <v>3.8226595744680849</v>
      </c>
      <c r="H42" s="199">
        <f>'Fuel Summary'!H39</f>
        <v>21</v>
      </c>
      <c r="I42" s="53">
        <f>'Fuel Summary'!I39</f>
        <v>78.92</v>
      </c>
      <c r="J42" s="53">
        <f t="shared" si="7"/>
        <v>3.7580952380952382</v>
      </c>
      <c r="K42" s="53">
        <f t="shared" si="8"/>
        <v>3937.91</v>
      </c>
      <c r="L42" t="str">
        <f>+'Fuel Summary'!M46</f>
        <v>AMEX- Gas</v>
      </c>
      <c r="P42" s="53">
        <f>'Fuel Summary'!P46</f>
        <v>2941.69</v>
      </c>
      <c r="Q42" s="53">
        <f>+'Fuel Summary'!Q45</f>
        <v>0</v>
      </c>
      <c r="R42" s="53">
        <f>+'Fuel Summary'!R46</f>
        <v>0</v>
      </c>
    </row>
    <row r="43" spans="1:18">
      <c r="A43" s="199" t="str">
        <f>'Fuel Summary'!A40</f>
        <v>January 15</v>
      </c>
      <c r="B43" s="199">
        <f>'Fuel Summary'!B40</f>
        <v>732</v>
      </c>
      <c r="C43" s="53">
        <f>'Fuel Summary'!C40</f>
        <v>2930.9</v>
      </c>
      <c r="D43" s="53">
        <f t="shared" ref="D43:D60" si="9">IF(+B43=0,0,C43/B43)</f>
        <v>4.0039617486338797</v>
      </c>
      <c r="E43" s="199">
        <f>'Fuel Summary'!E40</f>
        <v>127</v>
      </c>
      <c r="F43" s="53">
        <f>'Fuel Summary'!F40</f>
        <v>516.28</v>
      </c>
      <c r="G43" s="53">
        <f t="shared" ref="G43:G60" si="10">IF(+E43=0,0,F43/E43)</f>
        <v>4.0651968503937006</v>
      </c>
      <c r="H43" s="199">
        <f>'Fuel Summary'!H40</f>
        <v>30</v>
      </c>
      <c r="I43" s="53">
        <f>'Fuel Summary'!I40</f>
        <v>118.55</v>
      </c>
      <c r="J43" s="53">
        <f t="shared" ref="J43:J60" si="11">IF(+H43=0,0,I43/H43)</f>
        <v>3.9516666666666667</v>
      </c>
      <c r="K43" s="53">
        <f t="shared" ref="K43:K60" si="12">+C43+F43</f>
        <v>3447.1800000000003</v>
      </c>
      <c r="L43" t="str">
        <f>+'Fuel Summary'!M47</f>
        <v>Western Truck Center</v>
      </c>
      <c r="P43" s="53">
        <f>'Fuel Summary'!P47</f>
        <v>444.04</v>
      </c>
      <c r="Q43" s="53">
        <f>+'Fuel Summary'!Q46</f>
        <v>0</v>
      </c>
      <c r="R43" s="53">
        <f>+'Fuel Summary'!R47</f>
        <v>0</v>
      </c>
    </row>
    <row r="44" spans="1:18">
      <c r="A44" s="199" t="str">
        <f>'Fuel Summary'!A41</f>
        <v>January 31</v>
      </c>
      <c r="B44" s="199">
        <f>'Fuel Summary'!B41</f>
        <v>567</v>
      </c>
      <c r="C44" s="53">
        <f>'Fuel Summary'!C41</f>
        <v>2331.31</v>
      </c>
      <c r="D44" s="53">
        <f t="shared" si="9"/>
        <v>4.1116578483245148</v>
      </c>
      <c r="E44" s="199">
        <f>'Fuel Summary'!E41</f>
        <v>167</v>
      </c>
      <c r="F44" s="53">
        <f>'Fuel Summary'!F41</f>
        <v>700.26</v>
      </c>
      <c r="G44" s="53">
        <f t="shared" si="10"/>
        <v>4.1931736526946111</v>
      </c>
      <c r="H44" s="199">
        <f>'Fuel Summary'!H41</f>
        <v>34</v>
      </c>
      <c r="I44" s="53">
        <f>'Fuel Summary'!I41</f>
        <v>142.93</v>
      </c>
      <c r="J44" s="53">
        <f t="shared" si="11"/>
        <v>4.203823529411765</v>
      </c>
      <c r="K44" s="53">
        <f t="shared" si="12"/>
        <v>3031.5699999999997</v>
      </c>
      <c r="L44" t="str">
        <f>+'Fuel Summary'!M48</f>
        <v>Certified Laboratories</v>
      </c>
      <c r="P44" s="53">
        <f>'Fuel Summary'!P48</f>
        <v>5000.28</v>
      </c>
      <c r="Q44" s="53">
        <f>+'Fuel Summary'!Q48</f>
        <v>0</v>
      </c>
      <c r="R44" s="53">
        <f>+'Fuel Summary'!R48</f>
        <v>0</v>
      </c>
    </row>
    <row r="45" spans="1:18">
      <c r="A45" s="199" t="str">
        <f>'Fuel Summary'!A42</f>
        <v>February 15</v>
      </c>
      <c r="B45" s="199">
        <f>'Fuel Summary'!B42</f>
        <v>722</v>
      </c>
      <c r="C45" s="53">
        <f>'Fuel Summary'!C42</f>
        <v>2969.26</v>
      </c>
      <c r="D45" s="53">
        <f t="shared" si="9"/>
        <v>4.1125484764542941</v>
      </c>
      <c r="E45" s="199">
        <f>'Fuel Summary'!E42</f>
        <v>149</v>
      </c>
      <c r="F45" s="53">
        <f>'Fuel Summary'!F42</f>
        <v>622.46</v>
      </c>
      <c r="G45" s="53">
        <f t="shared" si="10"/>
        <v>4.1775838926174496</v>
      </c>
      <c r="H45" s="199">
        <f>'Fuel Summary'!H42</f>
        <v>38</v>
      </c>
      <c r="I45" s="53">
        <f>'Fuel Summary'!I42</f>
        <v>160.91</v>
      </c>
      <c r="J45" s="53">
        <f t="shared" si="11"/>
        <v>4.2344736842105259</v>
      </c>
      <c r="K45" s="53">
        <f t="shared" si="12"/>
        <v>3591.7200000000003</v>
      </c>
      <c r="L45" t="str">
        <f>+'Fuel Summary'!M49</f>
        <v>Employee reimbursement</v>
      </c>
      <c r="P45" s="53">
        <f>'Fuel Summary'!P49</f>
        <v>100</v>
      </c>
      <c r="Q45" s="53">
        <f>+'Fuel Summary'!Q49</f>
        <v>41.12</v>
      </c>
      <c r="R45" s="53">
        <f>+'Fuel Summary'!R49</f>
        <v>0</v>
      </c>
    </row>
    <row r="46" spans="1:18" ht="13.5" thickBot="1">
      <c r="A46" s="199" t="str">
        <f>'Fuel Summary'!A43</f>
        <v>February 28</v>
      </c>
      <c r="B46" s="199">
        <f>'Fuel Summary'!B43</f>
        <v>643</v>
      </c>
      <c r="C46" s="53">
        <f>'Fuel Summary'!C43</f>
        <v>2725.33</v>
      </c>
      <c r="D46" s="53">
        <f t="shared" si="9"/>
        <v>4.2384603421461895</v>
      </c>
      <c r="E46" s="199">
        <f>'Fuel Summary'!E43</f>
        <v>51</v>
      </c>
      <c r="F46" s="53">
        <f>'Fuel Summary'!F43</f>
        <v>216.5</v>
      </c>
      <c r="G46" s="53">
        <f t="shared" si="10"/>
        <v>4.2450980392156863</v>
      </c>
      <c r="H46" s="199">
        <f>'Fuel Summary'!H43</f>
        <v>17</v>
      </c>
      <c r="I46" s="53">
        <f>'Fuel Summary'!I43</f>
        <v>70.62</v>
      </c>
      <c r="J46" s="53">
        <f t="shared" si="11"/>
        <v>4.1541176470588237</v>
      </c>
      <c r="K46" s="53">
        <f t="shared" si="12"/>
        <v>2941.83</v>
      </c>
      <c r="P46" s="224"/>
      <c r="Q46" s="224"/>
      <c r="R46" s="224"/>
    </row>
    <row r="47" spans="1:18">
      <c r="A47" s="199" t="str">
        <f>'Fuel Summary'!A44</f>
        <v>March 15</v>
      </c>
      <c r="B47" s="199">
        <f>'Fuel Summary'!B44</f>
        <v>758</v>
      </c>
      <c r="C47" s="53">
        <f>'Fuel Summary'!C44</f>
        <v>3739.81</v>
      </c>
      <c r="D47" s="53">
        <f t="shared" si="9"/>
        <v>4.9337862796833774</v>
      </c>
      <c r="E47" s="199">
        <f>'Fuel Summary'!E44</f>
        <v>204</v>
      </c>
      <c r="F47" s="53">
        <f>'Fuel Summary'!F44</f>
        <v>1060.08</v>
      </c>
      <c r="G47" s="53">
        <f t="shared" si="10"/>
        <v>5.196470588235294</v>
      </c>
      <c r="H47" s="199">
        <f>'Fuel Summary'!H44</f>
        <v>41</v>
      </c>
      <c r="I47" s="53">
        <f>'Fuel Summary'!I44</f>
        <v>210.98</v>
      </c>
      <c r="J47" s="53">
        <f t="shared" si="11"/>
        <v>5.1458536585365851</v>
      </c>
      <c r="K47" s="53">
        <f t="shared" si="12"/>
        <v>4799.8899999999994</v>
      </c>
      <c r="L47" t="s">
        <v>2</v>
      </c>
      <c r="P47" s="53">
        <f>SUM(P39:P45)</f>
        <v>111084.38999999998</v>
      </c>
      <c r="Q47" s="53">
        <f>SUM(Q39:Q45)</f>
        <v>24776.99</v>
      </c>
      <c r="R47" s="53">
        <f>SUM(R39:R45)</f>
        <v>3085.0899999999997</v>
      </c>
    </row>
    <row r="48" spans="1:18">
      <c r="A48" s="199" t="str">
        <f>'Fuel Summary'!A45</f>
        <v>March 31</v>
      </c>
      <c r="B48" s="199">
        <f>'Fuel Summary'!B45</f>
        <v>878</v>
      </c>
      <c r="C48" s="53">
        <f>'Fuel Summary'!C45</f>
        <v>4935.6400000000003</v>
      </c>
      <c r="D48" s="53">
        <f t="shared" si="9"/>
        <v>5.621457858769932</v>
      </c>
      <c r="E48" s="199">
        <f>'Fuel Summary'!E45</f>
        <v>198</v>
      </c>
      <c r="F48" s="53">
        <f>'Fuel Summary'!F45</f>
        <v>1125.24</v>
      </c>
      <c r="G48" s="53">
        <f t="shared" si="10"/>
        <v>5.6830303030303027</v>
      </c>
      <c r="H48" s="199">
        <f>'Fuel Summary'!H45</f>
        <v>32</v>
      </c>
      <c r="I48" s="53">
        <f>'Fuel Summary'!I45</f>
        <v>185.57</v>
      </c>
      <c r="J48" s="53">
        <f t="shared" si="11"/>
        <v>5.7990624999999998</v>
      </c>
      <c r="K48" s="53">
        <f t="shared" si="12"/>
        <v>6060.88</v>
      </c>
      <c r="P48" s="53"/>
      <c r="Q48" s="53"/>
      <c r="R48" s="53"/>
    </row>
    <row r="49" spans="1:18" ht="13.5" thickBot="1">
      <c r="A49" s="199" t="str">
        <f>'Fuel Summary'!A46</f>
        <v>April 15</v>
      </c>
      <c r="B49" s="199">
        <f>'Fuel Summary'!B46</f>
        <v>874</v>
      </c>
      <c r="C49" s="53">
        <f>'Fuel Summary'!C46</f>
        <v>4701.45</v>
      </c>
      <c r="D49" s="53">
        <f t="shared" si="9"/>
        <v>5.3792334096109835</v>
      </c>
      <c r="E49" s="199">
        <f>'Fuel Summary'!E46</f>
        <v>141</v>
      </c>
      <c r="F49" s="53">
        <f>'Fuel Summary'!F46</f>
        <v>771.85</v>
      </c>
      <c r="G49" s="53">
        <f t="shared" si="10"/>
        <v>5.4741134751773055</v>
      </c>
      <c r="H49" s="199">
        <f>'Fuel Summary'!H46</f>
        <v>38</v>
      </c>
      <c r="I49" s="53">
        <f>'Fuel Summary'!I46</f>
        <v>204.04</v>
      </c>
      <c r="J49" s="53">
        <f t="shared" si="11"/>
        <v>5.3694736842105257</v>
      </c>
      <c r="K49" s="53">
        <f t="shared" si="12"/>
        <v>5473.3</v>
      </c>
      <c r="L49" t="s">
        <v>84</v>
      </c>
      <c r="P49" s="224">
        <f>+'Monthy Income Statements'!$O$44</f>
        <v>111084.39</v>
      </c>
      <c r="Q49" s="224">
        <f>+'Monthy Income Statements'!$O$45</f>
        <v>24776.99</v>
      </c>
      <c r="R49" s="224">
        <f>+'Monthy Income Statements'!$O$46</f>
        <v>3085.0899999999997</v>
      </c>
    </row>
    <row r="50" spans="1:18">
      <c r="A50" s="199" t="str">
        <f>'Fuel Summary'!A47</f>
        <v>April 30</v>
      </c>
      <c r="B50" s="199">
        <f>'Fuel Summary'!B47</f>
        <v>824</v>
      </c>
      <c r="C50" s="53">
        <f>'Fuel Summary'!C47</f>
        <v>4286.49</v>
      </c>
      <c r="D50" s="53">
        <f t="shared" si="9"/>
        <v>5.2020509708737865</v>
      </c>
      <c r="E50" s="199">
        <f>'Fuel Summary'!E47</f>
        <v>212</v>
      </c>
      <c r="F50" s="53">
        <f>'Fuel Summary'!F47</f>
        <v>1132.53</v>
      </c>
      <c r="G50" s="53">
        <f t="shared" si="10"/>
        <v>5.3421226415094338</v>
      </c>
      <c r="H50" s="199">
        <f>'Fuel Summary'!H47</f>
        <v>23</v>
      </c>
      <c r="I50" s="53">
        <f>'Fuel Summary'!I47</f>
        <v>123.75</v>
      </c>
      <c r="J50" s="53">
        <f t="shared" si="11"/>
        <v>5.3804347826086953</v>
      </c>
      <c r="K50" s="53">
        <f t="shared" si="12"/>
        <v>5419.0199999999995</v>
      </c>
      <c r="P50" s="53"/>
      <c r="Q50" s="53"/>
      <c r="R50" s="53"/>
    </row>
    <row r="51" spans="1:18" ht="13.5" thickBot="1">
      <c r="A51" s="199" t="str">
        <f>'Fuel Summary'!A48</f>
        <v>May 15</v>
      </c>
      <c r="B51" s="199">
        <f>'Fuel Summary'!B48</f>
        <v>721</v>
      </c>
      <c r="C51" s="53">
        <f>'Fuel Summary'!C48</f>
        <v>3924.69</v>
      </c>
      <c r="D51" s="53">
        <f t="shared" si="9"/>
        <v>5.4433980582524271</v>
      </c>
      <c r="E51" s="199">
        <f>'Fuel Summary'!E48</f>
        <v>216</v>
      </c>
      <c r="F51" s="53">
        <f>'Fuel Summary'!F48</f>
        <v>1199.04</v>
      </c>
      <c r="G51" s="53">
        <f t="shared" si="10"/>
        <v>5.5511111111111111</v>
      </c>
      <c r="H51" s="199">
        <f>'Fuel Summary'!H48</f>
        <v>29</v>
      </c>
      <c r="I51" s="53">
        <f>'Fuel Summary'!I48</f>
        <v>163.26</v>
      </c>
      <c r="J51" s="53">
        <f t="shared" si="11"/>
        <v>5.6296551724137931</v>
      </c>
      <c r="K51" s="53">
        <f t="shared" si="12"/>
        <v>5123.7299999999996</v>
      </c>
      <c r="L51" t="s">
        <v>611</v>
      </c>
      <c r="P51" s="259">
        <f>ROUND(+P47-P49,2)</f>
        <v>0</v>
      </c>
      <c r="Q51" s="259">
        <f>ROUND(+Q47-Q49,2)</f>
        <v>0</v>
      </c>
      <c r="R51" s="259">
        <f>ROUND(+R47-R49,2)</f>
        <v>0</v>
      </c>
    </row>
    <row r="52" spans="1:18" ht="13.5" thickTop="1">
      <c r="A52" s="199" t="str">
        <f>'Fuel Summary'!A49</f>
        <v>May 31</v>
      </c>
      <c r="B52" s="199">
        <f>'Fuel Summary'!B49</f>
        <v>835</v>
      </c>
      <c r="C52" s="53">
        <f>'Fuel Summary'!C49</f>
        <v>4547.25</v>
      </c>
      <c r="D52" s="53">
        <f t="shared" si="9"/>
        <v>5.4458083832335333</v>
      </c>
      <c r="E52" s="199">
        <f>'Fuel Summary'!E49</f>
        <v>240</v>
      </c>
      <c r="F52" s="53">
        <f>'Fuel Summary'!F49</f>
        <v>1317.05</v>
      </c>
      <c r="G52" s="53">
        <f t="shared" si="10"/>
        <v>5.487708333333333</v>
      </c>
      <c r="H52" s="199">
        <f>'Fuel Summary'!H49</f>
        <v>19</v>
      </c>
      <c r="I52" s="53">
        <f>'Fuel Summary'!I49</f>
        <v>106.51</v>
      </c>
      <c r="J52" s="53">
        <f t="shared" si="11"/>
        <v>5.6057894736842107</v>
      </c>
      <c r="K52" s="53">
        <f t="shared" si="12"/>
        <v>5864.3</v>
      </c>
    </row>
    <row r="53" spans="1:18">
      <c r="A53" s="199" t="str">
        <f>'Fuel Summary'!A50</f>
        <v>June 15</v>
      </c>
      <c r="B53" s="199">
        <f>'Fuel Summary'!B50</f>
        <v>862</v>
      </c>
      <c r="C53" s="53">
        <f>'Fuel Summary'!C50</f>
        <v>5232.41</v>
      </c>
      <c r="D53" s="53">
        <f t="shared" si="9"/>
        <v>6.0700812064965195</v>
      </c>
      <c r="E53" s="199">
        <f>'Fuel Summary'!E50</f>
        <v>212</v>
      </c>
      <c r="F53" s="53">
        <f>'Fuel Summary'!F50</f>
        <v>1296.28</v>
      </c>
      <c r="G53" s="53">
        <f t="shared" si="10"/>
        <v>6.114528301886792</v>
      </c>
      <c r="H53" s="199">
        <f>'Fuel Summary'!H50</f>
        <v>17</v>
      </c>
      <c r="I53" s="53">
        <f>'Fuel Summary'!I50</f>
        <v>101.74</v>
      </c>
      <c r="J53" s="53">
        <f t="shared" si="11"/>
        <v>5.9847058823529409</v>
      </c>
      <c r="K53" s="53">
        <f t="shared" si="12"/>
        <v>6528.69</v>
      </c>
      <c r="L53" t="s">
        <v>611</v>
      </c>
      <c r="P53">
        <f>IF(P51+Q51=0,Q51,"err")</f>
        <v>0</v>
      </c>
    </row>
    <row r="54" spans="1:18">
      <c r="A54" s="199" t="str">
        <f>'Fuel Summary'!A51</f>
        <v>June 30</v>
      </c>
      <c r="B54" s="199">
        <f>'Fuel Summary'!B51</f>
        <v>1003</v>
      </c>
      <c r="C54" s="53">
        <f>'Fuel Summary'!C51</f>
        <v>6353.15</v>
      </c>
      <c r="D54" s="53">
        <f t="shared" si="9"/>
        <v>6.3341475573280155</v>
      </c>
      <c r="E54" s="199">
        <f>'Fuel Summary'!E51</f>
        <v>248</v>
      </c>
      <c r="F54" s="53">
        <f>'Fuel Summary'!F51</f>
        <v>1590.67</v>
      </c>
      <c r="G54" s="53">
        <f t="shared" si="10"/>
        <v>6.413991935483871</v>
      </c>
      <c r="H54" s="199">
        <f>'Fuel Summary'!H51</f>
        <v>22</v>
      </c>
      <c r="I54" s="53">
        <f>'Fuel Summary'!I51</f>
        <v>138.91999999999999</v>
      </c>
      <c r="J54" s="53">
        <f t="shared" si="11"/>
        <v>6.3145454545454536</v>
      </c>
      <c r="K54" s="53">
        <f t="shared" si="12"/>
        <v>7943.82</v>
      </c>
    </row>
    <row r="55" spans="1:18">
      <c r="A55" s="199" t="str">
        <f>'Fuel Summary'!A52</f>
        <v>July 15</v>
      </c>
      <c r="B55" s="199">
        <f>'Fuel Summary'!B52</f>
        <v>963</v>
      </c>
      <c r="C55" s="53">
        <f>'Fuel Summary'!C52</f>
        <v>6126.91</v>
      </c>
      <c r="D55" s="53">
        <f t="shared" si="9"/>
        <v>6.3623156801661471</v>
      </c>
      <c r="E55" s="199">
        <f>'Fuel Summary'!E52</f>
        <v>219</v>
      </c>
      <c r="F55" s="53">
        <f>'Fuel Summary'!F52</f>
        <v>1417.84</v>
      </c>
      <c r="G55" s="53">
        <f t="shared" si="10"/>
        <v>6.4741552511415525</v>
      </c>
      <c r="H55" s="199">
        <f>'Fuel Summary'!H52</f>
        <v>29</v>
      </c>
      <c r="I55" s="53">
        <f>'Fuel Summary'!I52</f>
        <v>184.5</v>
      </c>
      <c r="J55" s="53">
        <f t="shared" si="11"/>
        <v>6.3620689655172411</v>
      </c>
      <c r="K55" s="53">
        <f t="shared" si="12"/>
        <v>7544.75</v>
      </c>
    </row>
    <row r="56" spans="1:18">
      <c r="A56" s="199" t="str">
        <f>'Fuel Summary'!A53</f>
        <v>July 31</v>
      </c>
      <c r="B56" s="199">
        <f>'Fuel Summary'!B53</f>
        <v>993</v>
      </c>
      <c r="C56" s="53">
        <f>'Fuel Summary'!C53</f>
        <v>5923.28</v>
      </c>
      <c r="D56" s="53">
        <f t="shared" si="9"/>
        <v>5.9650352467270897</v>
      </c>
      <c r="E56" s="199">
        <f>'Fuel Summary'!E53</f>
        <v>283</v>
      </c>
      <c r="F56" s="53">
        <f>'Fuel Summary'!F53</f>
        <v>1727.23</v>
      </c>
      <c r="G56" s="53">
        <f t="shared" si="10"/>
        <v>6.103286219081272</v>
      </c>
      <c r="H56" s="199">
        <f>'Fuel Summary'!H53</f>
        <v>13</v>
      </c>
      <c r="I56" s="53">
        <f>'Fuel Summary'!I53</f>
        <v>80.209999999999994</v>
      </c>
      <c r="J56" s="53">
        <f t="shared" si="11"/>
        <v>6.17</v>
      </c>
      <c r="K56" s="53">
        <f t="shared" si="12"/>
        <v>7650.51</v>
      </c>
    </row>
    <row r="57" spans="1:18">
      <c r="A57" s="199" t="str">
        <f>'Fuel Summary'!A54</f>
        <v>August 15</v>
      </c>
      <c r="B57" s="199">
        <f>'Fuel Summary'!B54</f>
        <v>932</v>
      </c>
      <c r="C57" s="53">
        <f>'Fuel Summary'!C54</f>
        <v>5003.12</v>
      </c>
      <c r="D57" s="53">
        <f t="shared" si="9"/>
        <v>5.3681545064377678</v>
      </c>
      <c r="E57" s="199">
        <f>'Fuel Summary'!E54</f>
        <v>164</v>
      </c>
      <c r="F57" s="53">
        <f>'Fuel Summary'!F54</f>
        <v>887.82</v>
      </c>
      <c r="G57" s="53">
        <f t="shared" si="10"/>
        <v>5.4135365853658541</v>
      </c>
      <c r="H57" s="199">
        <f>'Fuel Summary'!H54</f>
        <v>30</v>
      </c>
      <c r="I57" s="53">
        <f>'Fuel Summary'!I54</f>
        <v>167.08</v>
      </c>
      <c r="J57" s="53">
        <f t="shared" si="11"/>
        <v>5.5693333333333337</v>
      </c>
      <c r="K57" s="53">
        <f t="shared" si="12"/>
        <v>5890.94</v>
      </c>
      <c r="L57" s="127" t="s">
        <v>661</v>
      </c>
      <c r="Q57" s="2" t="s">
        <v>644</v>
      </c>
    </row>
    <row r="58" spans="1:18">
      <c r="A58" s="199" t="str">
        <f>'Fuel Summary'!A55</f>
        <v>August 31</v>
      </c>
      <c r="B58" s="199">
        <f>'Fuel Summary'!B55</f>
        <v>1198</v>
      </c>
      <c r="C58" s="53">
        <f>'Fuel Summary'!C55</f>
        <v>6087.74</v>
      </c>
      <c r="D58" s="53">
        <f t="shared" si="9"/>
        <v>5.0815859766277125</v>
      </c>
      <c r="E58" s="199">
        <f>'Fuel Summary'!E55</f>
        <v>277</v>
      </c>
      <c r="F58" s="53">
        <f>'Fuel Summary'!F55</f>
        <v>1426.61</v>
      </c>
      <c r="G58" s="53">
        <f t="shared" si="10"/>
        <v>5.1502166064981942</v>
      </c>
      <c r="H58" s="199">
        <f>'Fuel Summary'!H55</f>
        <v>28</v>
      </c>
      <c r="I58" s="53">
        <f>'Fuel Summary'!I55</f>
        <v>142.96</v>
      </c>
      <c r="J58" s="53">
        <f t="shared" si="11"/>
        <v>5.1057142857142859</v>
      </c>
      <c r="K58" s="53">
        <f t="shared" si="12"/>
        <v>7514.3499999999995</v>
      </c>
      <c r="O58" t="s">
        <v>107</v>
      </c>
      <c r="P58" s="2" t="s">
        <v>643</v>
      </c>
      <c r="Q58" s="2" t="s">
        <v>642</v>
      </c>
    </row>
    <row r="59" spans="1:18">
      <c r="A59" s="199" t="str">
        <f>'Fuel Summary'!A56</f>
        <v>September 15</v>
      </c>
      <c r="B59" s="199">
        <f>'Fuel Summary'!B56</f>
        <v>1030</v>
      </c>
      <c r="C59" s="53">
        <f>'Fuel Summary'!C56</f>
        <v>5329.51</v>
      </c>
      <c r="D59" s="53">
        <f t="shared" si="9"/>
        <v>5.1742815533980586</v>
      </c>
      <c r="E59" s="199">
        <f>'Fuel Summary'!E56</f>
        <v>244</v>
      </c>
      <c r="F59" s="53">
        <f>'Fuel Summary'!F56</f>
        <v>1266.75</v>
      </c>
      <c r="G59" s="53">
        <f t="shared" si="10"/>
        <v>5.1915983606557381</v>
      </c>
      <c r="H59" s="199">
        <f>'Fuel Summary'!H56</f>
        <v>32</v>
      </c>
      <c r="I59" s="53">
        <f>'Fuel Summary'!I56</f>
        <v>167.25</v>
      </c>
      <c r="J59" s="53">
        <f t="shared" si="11"/>
        <v>5.2265625</v>
      </c>
      <c r="K59" s="53">
        <f t="shared" si="12"/>
        <v>6596.26</v>
      </c>
      <c r="L59" s="127" t="s">
        <v>660</v>
      </c>
    </row>
    <row r="60" spans="1:18" ht="13.5" thickBot="1">
      <c r="A60" s="199" t="str">
        <f>'Fuel Summary'!A57</f>
        <v>September 30</v>
      </c>
      <c r="B60" s="263">
        <f>'Fuel Summary'!B57</f>
        <v>948</v>
      </c>
      <c r="C60" s="224">
        <f>'Fuel Summary'!C57</f>
        <v>4669.4799999999996</v>
      </c>
      <c r="D60" s="224">
        <f t="shared" si="9"/>
        <v>4.9256118143459915</v>
      </c>
      <c r="E60" s="263">
        <f>'Fuel Summary'!E57</f>
        <v>271</v>
      </c>
      <c r="F60" s="224">
        <f>'Fuel Summary'!F57</f>
        <v>1354.86</v>
      </c>
      <c r="G60" s="224">
        <f t="shared" si="10"/>
        <v>4.9994833948339483</v>
      </c>
      <c r="H60" s="263">
        <f>'Fuel Summary'!H57</f>
        <v>26</v>
      </c>
      <c r="I60" s="224">
        <f>'Fuel Summary'!I57</f>
        <v>125.93</v>
      </c>
      <c r="J60" s="224">
        <f t="shared" si="11"/>
        <v>4.8434615384615389</v>
      </c>
      <c r="K60" s="53">
        <f t="shared" si="12"/>
        <v>6024.3399999999992</v>
      </c>
      <c r="L60" t="s">
        <v>610</v>
      </c>
      <c r="O60" s="53">
        <f>+C24+I24+N24+C62</f>
        <v>101903.87999999999</v>
      </c>
      <c r="P60" s="199">
        <f>+B24+H24+M24+B62</f>
        <v>21059</v>
      </c>
      <c r="Q60" s="226">
        <f>+O60/P60</f>
        <v>4.8389705114202952</v>
      </c>
    </row>
    <row r="61" spans="1:18" ht="13.5" thickBot="1">
      <c r="B61" s="199"/>
      <c r="C61" s="53"/>
      <c r="E61" s="199"/>
      <c r="F61" s="53"/>
      <c r="H61" s="199"/>
      <c r="I61" s="53"/>
      <c r="L61" t="s">
        <v>657</v>
      </c>
      <c r="O61" s="53">
        <f>C30+I30+N30+C77</f>
        <v>101903.87999999999</v>
      </c>
      <c r="P61" s="199">
        <f>+B30+H30+M30+B77</f>
        <v>21059</v>
      </c>
      <c r="Q61" s="265">
        <f>+O61/P61</f>
        <v>4.8389705114202952</v>
      </c>
    </row>
    <row r="62" spans="1:18" ht="13.5" thickBot="1">
      <c r="A62" s="13" t="s">
        <v>610</v>
      </c>
      <c r="B62" s="264">
        <f>SUM(B37:B60)</f>
        <v>20597</v>
      </c>
      <c r="C62" s="259">
        <f>SUM(C37:C60)</f>
        <v>99702.989999999991</v>
      </c>
      <c r="D62" s="259">
        <f>+C62/B62</f>
        <v>4.8406559207651592</v>
      </c>
      <c r="E62" s="264">
        <f>SUM(E37:E60)</f>
        <v>4980</v>
      </c>
      <c r="F62" s="259">
        <f>SUM(F37:F60)</f>
        <v>24735.870000000003</v>
      </c>
      <c r="G62" s="259">
        <f>+F62/E62</f>
        <v>4.9670421686746993</v>
      </c>
      <c r="H62" s="264">
        <f>SUM(H37:H60)</f>
        <v>628</v>
      </c>
      <c r="I62" s="259">
        <f>SUM(I37:I60)</f>
        <v>3085.0899999999997</v>
      </c>
      <c r="J62" s="259">
        <f>+I62/H62</f>
        <v>4.912563694267515</v>
      </c>
    </row>
    <row r="63" spans="1:18" ht="13.5" thickTop="1">
      <c r="B63" s="199"/>
      <c r="C63" s="53"/>
      <c r="E63" s="199"/>
      <c r="F63" s="53"/>
      <c r="H63" s="199"/>
      <c r="I63" s="53"/>
      <c r="M63" t="s">
        <v>655</v>
      </c>
      <c r="Q63" s="63">
        <f>+Q61-Q60</f>
        <v>0</v>
      </c>
    </row>
    <row r="64" spans="1:18" ht="13.5" thickBot="1">
      <c r="A64" s="260" t="s">
        <v>641</v>
      </c>
      <c r="B64" s="199">
        <v>0</v>
      </c>
      <c r="C64" s="53">
        <v>0</v>
      </c>
      <c r="D64" s="53">
        <f t="shared" ref="D64:D75" si="13">IF(+B64=0,0,C64/B64)</f>
        <v>0</v>
      </c>
      <c r="E64" s="199">
        <v>0</v>
      </c>
      <c r="F64" s="53">
        <v>0</v>
      </c>
      <c r="G64" s="53">
        <f t="shared" ref="G64:G75" si="14">IF(+E64=0,0,F64/E64)</f>
        <v>0</v>
      </c>
      <c r="H64" s="199">
        <v>0</v>
      </c>
      <c r="I64" s="53">
        <v>0</v>
      </c>
      <c r="J64" s="53">
        <f t="shared" ref="J64:J75" si="15">IF(+H64=0,0,I64/H64)</f>
        <v>0</v>
      </c>
      <c r="K64" s="53">
        <f t="shared" ref="K64:K75" si="16">+C64+F64</f>
        <v>0</v>
      </c>
      <c r="M64" t="s">
        <v>654</v>
      </c>
      <c r="Q64" s="263">
        <f>+P60</f>
        <v>21059</v>
      </c>
    </row>
    <row r="65" spans="1:17">
      <c r="A65" s="260" t="s">
        <v>640</v>
      </c>
      <c r="B65" s="199">
        <v>0</v>
      </c>
      <c r="C65" s="53">
        <v>0</v>
      </c>
      <c r="D65" s="53">
        <f t="shared" si="13"/>
        <v>0</v>
      </c>
      <c r="E65" s="199">
        <v>0</v>
      </c>
      <c r="F65" s="53">
        <v>0</v>
      </c>
      <c r="G65" s="53">
        <f t="shared" si="14"/>
        <v>0</v>
      </c>
      <c r="H65" s="199">
        <v>0</v>
      </c>
      <c r="I65" s="53">
        <v>0</v>
      </c>
      <c r="J65" s="53">
        <f t="shared" si="15"/>
        <v>0</v>
      </c>
      <c r="K65" s="53">
        <f t="shared" si="16"/>
        <v>0</v>
      </c>
    </row>
    <row r="66" spans="1:17" ht="13.5" thickBot="1">
      <c r="A66" s="260" t="s">
        <v>639</v>
      </c>
      <c r="B66" s="199">
        <v>0</v>
      </c>
      <c r="C66" s="53">
        <v>0</v>
      </c>
      <c r="D66" s="53">
        <f t="shared" si="13"/>
        <v>0</v>
      </c>
      <c r="E66" s="199">
        <v>0</v>
      </c>
      <c r="F66" s="53">
        <v>0</v>
      </c>
      <c r="G66" s="53">
        <f t="shared" si="14"/>
        <v>0</v>
      </c>
      <c r="H66" s="199">
        <v>0</v>
      </c>
      <c r="I66" s="53">
        <v>0</v>
      </c>
      <c r="J66" s="53">
        <f t="shared" si="15"/>
        <v>0</v>
      </c>
      <c r="K66" s="53">
        <f t="shared" si="16"/>
        <v>0</v>
      </c>
      <c r="M66" t="s">
        <v>581</v>
      </c>
      <c r="Q66" s="223">
        <f>+Q64*Q63</f>
        <v>0</v>
      </c>
    </row>
    <row r="67" spans="1:17" ht="13.5" thickTop="1">
      <c r="A67" s="260" t="s">
        <v>638</v>
      </c>
      <c r="B67" s="199">
        <v>0</v>
      </c>
      <c r="C67" s="53">
        <v>0</v>
      </c>
      <c r="D67" s="53">
        <f t="shared" si="13"/>
        <v>0</v>
      </c>
      <c r="E67" s="199">
        <v>0</v>
      </c>
      <c r="F67" s="53">
        <v>0</v>
      </c>
      <c r="G67" s="53">
        <f t="shared" si="14"/>
        <v>0</v>
      </c>
      <c r="H67" s="199">
        <v>0</v>
      </c>
      <c r="I67" s="53">
        <v>0</v>
      </c>
      <c r="J67" s="53">
        <f t="shared" si="15"/>
        <v>0</v>
      </c>
      <c r="K67" s="53">
        <f t="shared" si="16"/>
        <v>0</v>
      </c>
    </row>
    <row r="68" spans="1:17">
      <c r="A68" s="267" t="s">
        <v>637</v>
      </c>
      <c r="B68" s="199">
        <v>0</v>
      </c>
      <c r="C68" s="53">
        <v>0</v>
      </c>
      <c r="D68" s="53">
        <f t="shared" si="13"/>
        <v>0</v>
      </c>
      <c r="E68" s="199">
        <v>0</v>
      </c>
      <c r="F68" s="53">
        <v>0</v>
      </c>
      <c r="G68" s="53">
        <f t="shared" si="14"/>
        <v>0</v>
      </c>
      <c r="H68" s="199">
        <v>0</v>
      </c>
      <c r="I68" s="53">
        <v>0</v>
      </c>
      <c r="J68" s="53">
        <f t="shared" si="15"/>
        <v>0</v>
      </c>
      <c r="K68" s="53">
        <f t="shared" si="16"/>
        <v>0</v>
      </c>
      <c r="L68" s="127" t="s">
        <v>659</v>
      </c>
    </row>
    <row r="69" spans="1:17">
      <c r="A69" s="267" t="s">
        <v>636</v>
      </c>
      <c r="B69" s="199">
        <v>0</v>
      </c>
      <c r="C69" s="53">
        <v>0</v>
      </c>
      <c r="D69" s="53">
        <f t="shared" si="13"/>
        <v>0</v>
      </c>
      <c r="E69" s="199">
        <v>0</v>
      </c>
      <c r="F69" s="53">
        <v>0</v>
      </c>
      <c r="G69" s="53">
        <f t="shared" si="14"/>
        <v>0</v>
      </c>
      <c r="H69" s="199">
        <v>0</v>
      </c>
      <c r="I69" s="53">
        <v>0</v>
      </c>
      <c r="J69" s="53">
        <f t="shared" si="15"/>
        <v>0</v>
      </c>
      <c r="K69" s="53">
        <f t="shared" si="16"/>
        <v>0</v>
      </c>
      <c r="L69" s="127"/>
    </row>
    <row r="70" spans="1:17">
      <c r="A70" s="267" t="s">
        <v>634</v>
      </c>
      <c r="B70" s="199">
        <v>0</v>
      </c>
      <c r="C70" s="53">
        <v>0</v>
      </c>
      <c r="D70" s="53">
        <f t="shared" si="13"/>
        <v>0</v>
      </c>
      <c r="E70" s="199">
        <v>0</v>
      </c>
      <c r="F70" s="53">
        <v>0</v>
      </c>
      <c r="G70" s="53">
        <f t="shared" si="14"/>
        <v>0</v>
      </c>
      <c r="H70" s="199">
        <v>0</v>
      </c>
      <c r="I70" s="53">
        <v>0</v>
      </c>
      <c r="J70" s="53">
        <f t="shared" si="15"/>
        <v>0</v>
      </c>
      <c r="K70" s="53">
        <f t="shared" si="16"/>
        <v>0</v>
      </c>
      <c r="L70" s="127"/>
    </row>
    <row r="71" spans="1:17">
      <c r="A71" s="267" t="s">
        <v>658</v>
      </c>
      <c r="B71" s="199">
        <v>0</v>
      </c>
      <c r="C71" s="53">
        <v>0</v>
      </c>
      <c r="D71" s="53">
        <f t="shared" si="13"/>
        <v>0</v>
      </c>
      <c r="E71" s="199">
        <v>0</v>
      </c>
      <c r="F71" s="53">
        <v>0</v>
      </c>
      <c r="G71" s="53">
        <f t="shared" si="14"/>
        <v>0</v>
      </c>
      <c r="H71" s="199">
        <v>0</v>
      </c>
      <c r="I71" s="53">
        <v>0</v>
      </c>
      <c r="J71" s="53">
        <f t="shared" si="15"/>
        <v>0</v>
      </c>
      <c r="K71" s="53">
        <f t="shared" si="16"/>
        <v>0</v>
      </c>
      <c r="L71" s="127"/>
    </row>
    <row r="72" spans="1:17">
      <c r="A72" s="267" t="s">
        <v>632</v>
      </c>
      <c r="B72" s="199">
        <v>0</v>
      </c>
      <c r="C72" s="53">
        <v>0</v>
      </c>
      <c r="D72" s="53">
        <f t="shared" si="13"/>
        <v>0</v>
      </c>
      <c r="E72" s="199">
        <v>0</v>
      </c>
      <c r="F72" s="53">
        <v>0</v>
      </c>
      <c r="G72" s="53">
        <f t="shared" si="14"/>
        <v>0</v>
      </c>
      <c r="H72" s="199">
        <v>0</v>
      </c>
      <c r="I72" s="53">
        <v>0</v>
      </c>
      <c r="J72" s="53">
        <f t="shared" si="15"/>
        <v>0</v>
      </c>
      <c r="K72" s="53">
        <f t="shared" si="16"/>
        <v>0</v>
      </c>
      <c r="L72" s="127"/>
    </row>
    <row r="73" spans="1:17">
      <c r="A73" s="267" t="s">
        <v>630</v>
      </c>
      <c r="B73" s="199">
        <v>0</v>
      </c>
      <c r="C73" s="53">
        <v>0</v>
      </c>
      <c r="D73" s="53">
        <f t="shared" si="13"/>
        <v>0</v>
      </c>
      <c r="E73" s="199">
        <v>0</v>
      </c>
      <c r="F73" s="53">
        <v>0</v>
      </c>
      <c r="G73" s="53">
        <f t="shared" si="14"/>
        <v>0</v>
      </c>
      <c r="H73" s="199">
        <v>0</v>
      </c>
      <c r="I73" s="53">
        <v>0</v>
      </c>
      <c r="J73" s="53">
        <f t="shared" si="15"/>
        <v>0</v>
      </c>
      <c r="K73" s="53">
        <f t="shared" si="16"/>
        <v>0</v>
      </c>
      <c r="L73" s="127"/>
    </row>
    <row r="74" spans="1:17">
      <c r="A74" s="260" t="s">
        <v>629</v>
      </c>
      <c r="B74" s="199">
        <v>0</v>
      </c>
      <c r="C74" s="53">
        <v>0</v>
      </c>
      <c r="D74" s="53">
        <f t="shared" si="13"/>
        <v>0</v>
      </c>
      <c r="E74" s="199">
        <v>0</v>
      </c>
      <c r="F74" s="53">
        <v>0</v>
      </c>
      <c r="G74" s="53">
        <f t="shared" si="14"/>
        <v>0</v>
      </c>
      <c r="H74" s="199">
        <v>0</v>
      </c>
      <c r="I74" s="53">
        <v>0</v>
      </c>
      <c r="J74" s="53">
        <f t="shared" si="15"/>
        <v>0</v>
      </c>
      <c r="K74" s="53">
        <f t="shared" si="16"/>
        <v>0</v>
      </c>
      <c r="L74" t="s">
        <v>610</v>
      </c>
      <c r="O74" s="53">
        <f>+F62</f>
        <v>24735.870000000003</v>
      </c>
      <c r="P74" s="199">
        <f>+E62</f>
        <v>4980</v>
      </c>
      <c r="Q74" s="226">
        <f>+O74/P74</f>
        <v>4.9670421686746993</v>
      </c>
    </row>
    <row r="75" spans="1:17" ht="13.5" thickBot="1">
      <c r="A75" s="266" t="s">
        <v>628</v>
      </c>
      <c r="B75" s="263">
        <v>0</v>
      </c>
      <c r="C75" s="224">
        <v>0</v>
      </c>
      <c r="D75" s="224">
        <f t="shared" si="13"/>
        <v>0</v>
      </c>
      <c r="E75" s="263">
        <v>0</v>
      </c>
      <c r="F75" s="224">
        <v>0</v>
      </c>
      <c r="G75" s="224">
        <f t="shared" si="14"/>
        <v>0</v>
      </c>
      <c r="H75" s="263">
        <v>0</v>
      </c>
      <c r="I75" s="224">
        <v>0</v>
      </c>
      <c r="J75" s="224">
        <f t="shared" si="15"/>
        <v>0</v>
      </c>
      <c r="K75" s="53">
        <f t="shared" si="16"/>
        <v>0</v>
      </c>
      <c r="L75" t="s">
        <v>657</v>
      </c>
      <c r="O75" s="53">
        <f>+F77</f>
        <v>24735.870000000003</v>
      </c>
      <c r="P75" s="199">
        <f>+E77</f>
        <v>4980</v>
      </c>
      <c r="Q75" s="265">
        <f>+O75/P75</f>
        <v>4.9670421686746993</v>
      </c>
    </row>
    <row r="76" spans="1:17">
      <c r="A76" s="18"/>
      <c r="B76" s="18"/>
      <c r="C76" s="18"/>
      <c r="D76" s="256"/>
      <c r="E76" s="18"/>
      <c r="F76" s="18"/>
      <c r="G76" s="256"/>
      <c r="H76" s="18"/>
      <c r="I76" s="18"/>
      <c r="J76" s="256"/>
    </row>
    <row r="77" spans="1:17" ht="13.5" thickBot="1">
      <c r="A77" s="13" t="s">
        <v>656</v>
      </c>
      <c r="B77" s="264">
        <f>B62</f>
        <v>20597</v>
      </c>
      <c r="C77" s="259">
        <f>C62</f>
        <v>99702.989999999991</v>
      </c>
      <c r="D77" s="259">
        <f>+C77/B77</f>
        <v>4.8406559207651592</v>
      </c>
      <c r="E77" s="264">
        <f>E62</f>
        <v>4980</v>
      </c>
      <c r="F77" s="259">
        <f>F62</f>
        <v>24735.870000000003</v>
      </c>
      <c r="G77" s="259">
        <f>+F77/E77</f>
        <v>4.9670421686746993</v>
      </c>
      <c r="H77" s="264">
        <f>H62</f>
        <v>628</v>
      </c>
      <c r="I77" s="259">
        <f>I62</f>
        <v>3085.0899999999997</v>
      </c>
      <c r="J77" s="259">
        <f>+I77/H77</f>
        <v>4.912563694267515</v>
      </c>
      <c r="M77" t="s">
        <v>655</v>
      </c>
      <c r="Q77" s="63">
        <f>+Q75-Q74</f>
        <v>0</v>
      </c>
    </row>
    <row r="78" spans="1:17" ht="14.25" thickTop="1" thickBot="1">
      <c r="A78" s="18"/>
      <c r="B78" s="18"/>
      <c r="C78" s="18"/>
      <c r="D78" s="18"/>
      <c r="E78" s="18"/>
      <c r="F78" s="18"/>
      <c r="G78" s="18"/>
      <c r="H78" s="18"/>
      <c r="I78" s="18"/>
      <c r="J78" s="18"/>
      <c r="M78" t="s">
        <v>654</v>
      </c>
      <c r="Q78" s="263">
        <f>+P74</f>
        <v>4980</v>
      </c>
    </row>
    <row r="79" spans="1:17">
      <c r="H79" s="18"/>
    </row>
    <row r="80" spans="1:17" ht="13.5" thickBot="1">
      <c r="M80" t="s">
        <v>581</v>
      </c>
      <c r="Q80" s="223">
        <f>+Q78*Q77</f>
        <v>0</v>
      </c>
    </row>
    <row r="81" ht="13.5" thickTop="1"/>
  </sheetData>
  <pageMargins left="0.21" right="0.39" top="0.24" bottom="0.24" header="0.26" footer="0.23"/>
  <pageSetup scale="61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opLeftCell="A10" workbookViewId="0">
      <selection activeCell="C7" sqref="C7"/>
    </sheetView>
  </sheetViews>
  <sheetFormatPr defaultRowHeight="12.75"/>
  <cols>
    <col min="1" max="1" width="19.28515625" customWidth="1"/>
    <col min="2" max="2" width="22" customWidth="1"/>
    <col min="3" max="3" width="12.42578125" customWidth="1"/>
    <col min="4" max="4" width="12.140625" customWidth="1"/>
    <col min="6" max="6" width="11.28515625" bestFit="1" customWidth="1"/>
  </cols>
  <sheetData>
    <row r="1" spans="1:5">
      <c r="A1" t="str">
        <f>+'Wage Summary'!A1</f>
        <v>Zippy Disposal Service, Inc.</v>
      </c>
    </row>
    <row r="3" spans="1:5">
      <c r="A3" t="s">
        <v>316</v>
      </c>
      <c r="D3" s="643" t="s">
        <v>1342</v>
      </c>
      <c r="E3" s="647" t="s">
        <v>689</v>
      </c>
    </row>
    <row r="5" spans="1:5">
      <c r="A5" s="642" t="s">
        <v>1469</v>
      </c>
    </row>
    <row r="12" spans="1:5">
      <c r="A12" t="str">
        <f>+'Wage Summary'!A10</f>
        <v>Name</v>
      </c>
      <c r="C12" s="2" t="str">
        <f>+'Wage Summary'!R9</f>
        <v>Proforma</v>
      </c>
      <c r="D12" s="2" t="s">
        <v>666</v>
      </c>
    </row>
    <row r="13" spans="1:5">
      <c r="C13" s="131" t="str">
        <f>+'Wage Summary'!R10</f>
        <v>Amount</v>
      </c>
      <c r="D13" s="131" t="s">
        <v>665</v>
      </c>
    </row>
    <row r="15" spans="1:5">
      <c r="A15" t="str">
        <f>+'Wage Summary'!A12</f>
        <v>Glen Austin</v>
      </c>
      <c r="C15" s="270">
        <f>+'Wage Summary'!R12</f>
        <v>130000</v>
      </c>
      <c r="D15" s="270">
        <f t="shared" ref="D15:D34" si="0">IF(C15&gt;$F$38,$F$38,C15)</f>
        <v>62500</v>
      </c>
    </row>
    <row r="16" spans="1:5">
      <c r="A16" t="str">
        <f>+'Wage Summary'!A13</f>
        <v>Carrie Austin</v>
      </c>
      <c r="C16" s="270">
        <f>+'Wage Summary'!R13</f>
        <v>8940</v>
      </c>
      <c r="D16" s="665">
        <f t="shared" si="0"/>
        <v>8940</v>
      </c>
    </row>
    <row r="17" spans="1:4">
      <c r="A17" t="str">
        <f>+'Wage Summary'!A15</f>
        <v>Chance Belmont</v>
      </c>
      <c r="C17" s="270">
        <f>+'Wage Summary'!R15</f>
        <v>49852</v>
      </c>
      <c r="D17" s="665">
        <f t="shared" si="0"/>
        <v>49852</v>
      </c>
    </row>
    <row r="18" spans="1:4">
      <c r="A18" t="str">
        <f>+'Wage Summary'!A16</f>
        <v>Narciso Cortes</v>
      </c>
      <c r="C18" s="270">
        <f>+'Wage Summary'!R16</f>
        <v>52193.5</v>
      </c>
      <c r="D18" s="665">
        <f t="shared" si="0"/>
        <v>52193.5</v>
      </c>
    </row>
    <row r="19" spans="1:4">
      <c r="A19" t="str">
        <f>+'Wage Summary'!A17</f>
        <v>Felipe De La Mora</v>
      </c>
      <c r="C19" s="270">
        <f>+'Wage Summary'!R17</f>
        <v>40508</v>
      </c>
      <c r="D19" s="665">
        <f t="shared" si="0"/>
        <v>40508</v>
      </c>
    </row>
    <row r="20" spans="1:4">
      <c r="A20" t="str">
        <f>+'Wage Summary'!A18</f>
        <v>Paul Hunter</v>
      </c>
      <c r="C20" s="270">
        <f>+'Wage Summary'!R18</f>
        <v>50</v>
      </c>
      <c r="D20" s="665">
        <f t="shared" si="0"/>
        <v>50</v>
      </c>
    </row>
    <row r="21" spans="1:4">
      <c r="A21" t="str">
        <f>+'Wage Summary'!A19</f>
        <v>Randy Lloyd</v>
      </c>
      <c r="C21" s="270">
        <f>+'Wage Summary'!R19</f>
        <v>6642</v>
      </c>
      <c r="D21" s="665">
        <f t="shared" si="0"/>
        <v>6642</v>
      </c>
    </row>
    <row r="22" spans="1:4">
      <c r="A22" t="str">
        <f>+'Wage Summary'!A20</f>
        <v>Mario Loera</v>
      </c>
      <c r="C22" s="270">
        <f>+'Wage Summary'!R20</f>
        <v>22629</v>
      </c>
      <c r="D22" s="665">
        <f t="shared" si="0"/>
        <v>22629</v>
      </c>
    </row>
    <row r="23" spans="1:4">
      <c r="A23" t="str">
        <f>+'Wage Summary'!A21</f>
        <v>Ed Davis</v>
      </c>
      <c r="C23" s="270">
        <f>+'Wage Summary'!R21</f>
        <v>11799</v>
      </c>
      <c r="D23" s="665">
        <f t="shared" si="0"/>
        <v>11799</v>
      </c>
    </row>
    <row r="24" spans="1:4">
      <c r="A24" t="str">
        <f>+'Wage Summary'!A23</f>
        <v>Jerry Mckinney</v>
      </c>
      <c r="C24" s="270">
        <f>+'Wage Summary'!R23</f>
        <v>105698</v>
      </c>
      <c r="D24" s="665">
        <f t="shared" si="0"/>
        <v>62500</v>
      </c>
    </row>
    <row r="25" spans="1:4">
      <c r="A25" t="str">
        <f>+'Wage Summary'!A24</f>
        <v>Leo Miller</v>
      </c>
      <c r="C25" s="270">
        <f>+'Wage Summary'!R24</f>
        <v>76800</v>
      </c>
      <c r="D25" s="665">
        <f t="shared" si="0"/>
        <v>62500</v>
      </c>
    </row>
    <row r="26" spans="1:4">
      <c r="A26" t="str">
        <f>+'Wage Summary'!A25</f>
        <v>Ty Miller</v>
      </c>
      <c r="C26" s="270">
        <f>+'Wage Summary'!R25</f>
        <v>600</v>
      </c>
      <c r="D26" s="665">
        <f t="shared" si="0"/>
        <v>600</v>
      </c>
    </row>
    <row r="27" spans="1:4">
      <c r="A27" t="str">
        <f>+'Wage Summary'!A26</f>
        <v>Douglas Ramsey</v>
      </c>
      <c r="C27" s="270">
        <f>+'Wage Summary'!R26</f>
        <v>77610</v>
      </c>
      <c r="D27" s="665">
        <f t="shared" si="0"/>
        <v>62500</v>
      </c>
    </row>
    <row r="28" spans="1:4">
      <c r="A28" t="str">
        <f>+'Wage Summary'!A27</f>
        <v>Caitylyn Rinehart</v>
      </c>
      <c r="C28" s="270">
        <f>+'Wage Summary'!R27</f>
        <v>0</v>
      </c>
      <c r="D28" s="665">
        <f t="shared" si="0"/>
        <v>0</v>
      </c>
    </row>
    <row r="29" spans="1:4">
      <c r="A29" t="str">
        <f>+'Wage Summary'!A28</f>
        <v>Frank Simpson</v>
      </c>
      <c r="C29" s="270">
        <f>+'Wage Summary'!R28</f>
        <v>36504</v>
      </c>
      <c r="D29" s="665">
        <f t="shared" si="0"/>
        <v>36504</v>
      </c>
    </row>
    <row r="30" spans="1:4">
      <c r="A30" t="str">
        <f>+'Wage Summary'!A29</f>
        <v>Eric Straub</v>
      </c>
      <c r="C30" s="270">
        <f>+'Wage Summary'!R29</f>
        <v>21875</v>
      </c>
      <c r="D30" s="665">
        <f t="shared" si="0"/>
        <v>21875</v>
      </c>
    </row>
    <row r="31" spans="1:4">
      <c r="A31" t="str">
        <f>+'Wage Summary'!A31</f>
        <v>Allen Tilbury</v>
      </c>
      <c r="C31" s="270">
        <f>+'Wage Summary'!R31</f>
        <v>30186</v>
      </c>
      <c r="D31" s="665">
        <f t="shared" si="0"/>
        <v>30186</v>
      </c>
    </row>
    <row r="32" spans="1:4">
      <c r="A32" t="str">
        <f>+'Wage Summary'!A32</f>
        <v>Julie Cooper</v>
      </c>
      <c r="C32" s="270">
        <f>+'Wage Summary'!R32</f>
        <v>44000</v>
      </c>
      <c r="D32" s="665">
        <f t="shared" si="0"/>
        <v>44000</v>
      </c>
    </row>
    <row r="33" spans="1:7">
      <c r="A33" t="str">
        <f>+'Wage Summary'!A33</f>
        <v>Roberto Vejar</v>
      </c>
      <c r="C33" s="270">
        <f>+'Wage Summary'!R33</f>
        <v>6441</v>
      </c>
      <c r="D33" s="665">
        <f t="shared" si="0"/>
        <v>6441</v>
      </c>
    </row>
    <row r="34" spans="1:7">
      <c r="A34">
        <f>+'Wage Summary'!A34</f>
        <v>0</v>
      </c>
      <c r="C34" s="269">
        <f>+'Wage Summary'!R34</f>
        <v>0</v>
      </c>
      <c r="D34" s="269">
        <f t="shared" si="0"/>
        <v>0</v>
      </c>
    </row>
    <row r="35" spans="1:7">
      <c r="C35" s="53"/>
    </row>
    <row r="36" spans="1:7">
      <c r="C36" s="63">
        <f>SUM(C15:C34)</f>
        <v>722327.5</v>
      </c>
      <c r="D36" s="63">
        <f>SUM(D15:D34)</f>
        <v>582219.5</v>
      </c>
    </row>
    <row r="37" spans="1:7">
      <c r="C37" s="53"/>
    </row>
    <row r="38" spans="1:7">
      <c r="A38" s="643" t="s">
        <v>1406</v>
      </c>
      <c r="D38" s="42">
        <v>0.01</v>
      </c>
      <c r="F38" s="664">
        <v>62500</v>
      </c>
      <c r="G38" s="643" t="s">
        <v>1336</v>
      </c>
    </row>
    <row r="40" spans="1:7">
      <c r="A40" s="643" t="s">
        <v>1407</v>
      </c>
      <c r="D40" s="53">
        <f>+D36*D38</f>
        <v>5822.1949999999997</v>
      </c>
    </row>
    <row r="41" spans="1:7">
      <c r="D41" s="53"/>
    </row>
    <row r="42" spans="1:7">
      <c r="A42" t="s">
        <v>664</v>
      </c>
      <c r="D42" s="57">
        <f>'Results of Operations Staff '!C94</f>
        <v>5208.82</v>
      </c>
    </row>
    <row r="43" spans="1:7">
      <c r="D43" s="53"/>
    </row>
    <row r="44" spans="1:7" ht="13.5" thickBot="1">
      <c r="A44" t="s">
        <v>565</v>
      </c>
      <c r="D44" s="223">
        <f>+D40-D42</f>
        <v>613.375</v>
      </c>
      <c r="E44" s="83"/>
    </row>
    <row r="45" spans="1:7" ht="13.5" thickTop="1">
      <c r="D45" s="53"/>
    </row>
    <row r="46" spans="1:7">
      <c r="D46" s="53"/>
    </row>
  </sheetData>
  <pageMargins left="0.75" right="0.75" top="1" bottom="1" header="0.5" footer="0.5"/>
  <pageSetup orientation="portrait" horizontalDpi="4294967293" verticalDpi="4294967293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F30" sqref="F30"/>
    </sheetView>
  </sheetViews>
  <sheetFormatPr defaultRowHeight="12.75"/>
  <cols>
    <col min="1" max="1" width="2.7109375" customWidth="1"/>
    <col min="5" max="5" width="12.140625" customWidth="1"/>
    <col min="6" max="6" width="11.7109375" customWidth="1"/>
    <col min="7" max="7" width="12.85546875" customWidth="1"/>
  </cols>
  <sheetData>
    <row r="1" spans="1:7">
      <c r="A1" t="str">
        <f>+'Wage Summary'!A1</f>
        <v>Zippy Disposal Service, Inc.</v>
      </c>
    </row>
    <row r="3" spans="1:7">
      <c r="A3" s="83" t="s">
        <v>677</v>
      </c>
      <c r="E3" s="643" t="s">
        <v>1342</v>
      </c>
      <c r="F3" s="647" t="s">
        <v>689</v>
      </c>
    </row>
    <row r="5" spans="1:7">
      <c r="A5" s="644" t="s">
        <v>1420</v>
      </c>
      <c r="B5" s="651"/>
    </row>
    <row r="11" spans="1:7">
      <c r="A11" s="83" t="s">
        <v>676</v>
      </c>
    </row>
    <row r="12" spans="1:7">
      <c r="E12" s="647" t="s">
        <v>1469</v>
      </c>
      <c r="F12" s="647">
        <v>2023</v>
      </c>
      <c r="G12" s="90" t="s">
        <v>675</v>
      </c>
    </row>
    <row r="13" spans="1:7">
      <c r="A13" s="83" t="s">
        <v>674</v>
      </c>
    </row>
    <row r="14" spans="1:7">
      <c r="B14" s="83" t="s">
        <v>673</v>
      </c>
      <c r="E14" s="232">
        <v>42336</v>
      </c>
      <c r="F14" s="232">
        <v>45802</v>
      </c>
      <c r="G14" s="47">
        <f>+F14-E14</f>
        <v>3466</v>
      </c>
    </row>
    <row r="15" spans="1:7">
      <c r="B15" s="83" t="s">
        <v>672</v>
      </c>
      <c r="E15" s="232">
        <v>13896</v>
      </c>
      <c r="F15" s="232">
        <v>15036</v>
      </c>
      <c r="G15" s="47">
        <f>+F15-E15</f>
        <v>1140</v>
      </c>
    </row>
    <row r="16" spans="1:7">
      <c r="B16" s="83" t="s">
        <v>671</v>
      </c>
      <c r="E16" s="232">
        <v>19368</v>
      </c>
      <c r="F16" s="232">
        <v>20942</v>
      </c>
      <c r="G16" s="47">
        <f>+F16-E16</f>
        <v>1574</v>
      </c>
    </row>
    <row r="17" spans="2:8">
      <c r="B17" s="83" t="s">
        <v>670</v>
      </c>
      <c r="E17" s="232">
        <v>10320</v>
      </c>
      <c r="F17" s="232">
        <v>11172</v>
      </c>
      <c r="G17" s="47">
        <f>+F17-E17</f>
        <v>852</v>
      </c>
    </row>
    <row r="18" spans="2:8">
      <c r="E18" s="272"/>
      <c r="F18" s="272"/>
      <c r="G18" s="76"/>
    </row>
    <row r="19" spans="2:8">
      <c r="E19" s="232">
        <f>SUM(E14:E18)</f>
        <v>85920</v>
      </c>
      <c r="F19" s="232">
        <f>SUM(F14:F18)</f>
        <v>92952</v>
      </c>
      <c r="G19" s="232">
        <f>SUM(G14:G18)</f>
        <v>7032</v>
      </c>
      <c r="H19" s="83" t="s">
        <v>565</v>
      </c>
    </row>
    <row r="20" spans="2:8">
      <c r="E20" s="232"/>
      <c r="F20" s="232"/>
      <c r="G20" s="232"/>
      <c r="H20" s="83"/>
    </row>
    <row r="21" spans="2:8">
      <c r="B21" s="83" t="s">
        <v>667</v>
      </c>
      <c r="E21" s="43"/>
      <c r="F21" s="43">
        <f>'Monthy Income Statements'!$O$98</f>
        <v>88512</v>
      </c>
    </row>
    <row r="22" spans="2:8">
      <c r="F22" s="232"/>
    </row>
    <row r="23" spans="2:8" ht="13.5" thickBot="1">
      <c r="B23" s="83" t="s">
        <v>250</v>
      </c>
      <c r="F23" s="641">
        <f>F19-F21</f>
        <v>4440</v>
      </c>
      <c r="G23" s="643" t="s">
        <v>1442</v>
      </c>
    </row>
    <row r="24" spans="2:8" ht="13.5" thickTop="1">
      <c r="E24" s="232"/>
      <c r="F24" s="232"/>
    </row>
    <row r="25" spans="2:8">
      <c r="E25" s="232"/>
      <c r="F25" s="232"/>
    </row>
    <row r="26" spans="2:8">
      <c r="E26" s="232"/>
      <c r="F26" s="232"/>
    </row>
    <row r="27" spans="2:8">
      <c r="E27" s="643" t="s">
        <v>1469</v>
      </c>
      <c r="F27">
        <v>2023</v>
      </c>
      <c r="G27" s="629" t="s">
        <v>675</v>
      </c>
    </row>
    <row r="28" spans="2:8">
      <c r="B28" s="83" t="s">
        <v>669</v>
      </c>
      <c r="E28" s="232"/>
      <c r="F28" s="232"/>
    </row>
    <row r="29" spans="2:8">
      <c r="B29" s="83" t="s">
        <v>668</v>
      </c>
      <c r="E29" s="232">
        <v>28800</v>
      </c>
      <c r="F29" s="232">
        <v>29852</v>
      </c>
      <c r="G29" s="47">
        <f>+F29-E29</f>
        <v>1052</v>
      </c>
      <c r="H29" s="83" t="s">
        <v>565</v>
      </c>
    </row>
    <row r="30" spans="2:8">
      <c r="E30" s="272"/>
      <c r="F30" s="272"/>
      <c r="G30" s="76"/>
    </row>
    <row r="31" spans="2:8">
      <c r="E31" s="232">
        <f>E29</f>
        <v>28800</v>
      </c>
      <c r="F31" s="232">
        <f>F29</f>
        <v>29852</v>
      </c>
      <c r="G31" s="232">
        <f>SUM(G19:G29)</f>
        <v>8084</v>
      </c>
    </row>
    <row r="32" spans="2:8">
      <c r="E32" s="47"/>
    </row>
    <row r="33" spans="2:7">
      <c r="B33" s="83" t="s">
        <v>667</v>
      </c>
      <c r="F33" s="43">
        <f>'Monthy Income Statements'!$O$99</f>
        <v>28800</v>
      </c>
    </row>
    <row r="35" spans="2:7" ht="13.5" thickBot="1">
      <c r="B35" s="83" t="s">
        <v>250</v>
      </c>
      <c r="F35" s="271">
        <f>F31-F33</f>
        <v>1052</v>
      </c>
      <c r="G35" s="643" t="s">
        <v>1442</v>
      </c>
    </row>
    <row r="36" spans="2:7" ht="13.5" thickTop="1"/>
    <row r="37" spans="2:7">
      <c r="B37" s="83"/>
    </row>
    <row r="40" spans="2:7">
      <c r="B40" s="83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92"/>
  <sheetViews>
    <sheetView topLeftCell="A43" workbookViewId="0">
      <selection activeCell="A4" sqref="A4"/>
    </sheetView>
  </sheetViews>
  <sheetFormatPr defaultRowHeight="12.75"/>
  <cols>
    <col min="1" max="1" width="10.140625" bestFit="1" customWidth="1"/>
    <col min="4" max="4" width="24.5703125" customWidth="1"/>
  </cols>
  <sheetData>
    <row r="1" spans="1:9">
      <c r="A1" t="s">
        <v>0</v>
      </c>
    </row>
    <row r="2" spans="1:9">
      <c r="A2" t="s">
        <v>728</v>
      </c>
      <c r="E2" t="s">
        <v>727</v>
      </c>
      <c r="F2" s="245" t="s">
        <v>726</v>
      </c>
    </row>
    <row r="3" spans="1:9">
      <c r="A3" s="705">
        <v>44834</v>
      </c>
      <c r="E3" t="s">
        <v>725</v>
      </c>
      <c r="F3" s="275" t="s">
        <v>724</v>
      </c>
    </row>
    <row r="4" spans="1:9">
      <c r="E4" t="s">
        <v>723</v>
      </c>
      <c r="F4" s="274" t="s">
        <v>722</v>
      </c>
    </row>
    <row r="5" spans="1:9">
      <c r="F5" s="273"/>
    </row>
    <row r="6" spans="1:9">
      <c r="F6" s="273"/>
    </row>
    <row r="7" spans="1:9">
      <c r="F7" s="273"/>
    </row>
    <row r="9" spans="1:9">
      <c r="A9" t="s">
        <v>721</v>
      </c>
      <c r="I9" t="s">
        <v>318</v>
      </c>
    </row>
    <row r="10" spans="1:9">
      <c r="B10" t="s">
        <v>720</v>
      </c>
      <c r="E10" s="643" t="str">
        <f>'General Data'!E3</f>
        <v>C</v>
      </c>
      <c r="F10" t="str">
        <f t="shared" ref="F10:F16" si="0">IF(E10="a",$F$2,IF(E10="p",$F$3,IF(E10="c",$F$4,"err")))</f>
        <v>Completed</v>
      </c>
    </row>
    <row r="11" spans="1:9">
      <c r="B11" s="83" t="s">
        <v>719</v>
      </c>
      <c r="E11" s="643" t="str">
        <f>'Monthly Data-Hours &amp; Miles'!E3</f>
        <v>C</v>
      </c>
      <c r="F11" t="str">
        <f t="shared" si="0"/>
        <v>Completed</v>
      </c>
    </row>
    <row r="12" spans="1:9">
      <c r="B12" s="83" t="s">
        <v>718</v>
      </c>
      <c r="E12" s="643" t="str">
        <f>'Monthly Data-Container Count'!E3</f>
        <v>C</v>
      </c>
      <c r="F12" t="str">
        <f t="shared" si="0"/>
        <v>Completed</v>
      </c>
    </row>
    <row r="13" spans="1:9">
      <c r="B13" s="83" t="s">
        <v>717</v>
      </c>
      <c r="E13" s="643" t="str">
        <f>'Monthly Data-Disposal Fees'!E3</f>
        <v>C</v>
      </c>
      <c r="F13" t="str">
        <f t="shared" si="0"/>
        <v>Completed</v>
      </c>
    </row>
    <row r="14" spans="1:9">
      <c r="B14" t="s">
        <v>716</v>
      </c>
      <c r="E14" s="643" t="str">
        <f>'Service Count Data'!E3</f>
        <v>C</v>
      </c>
      <c r="F14" t="str">
        <f t="shared" si="0"/>
        <v>Completed</v>
      </c>
    </row>
    <row r="15" spans="1:9">
      <c r="B15" t="s">
        <v>715</v>
      </c>
      <c r="E15" s="643" t="str">
        <f>'Pateros Service Counts'!F3</f>
        <v>C</v>
      </c>
      <c r="F15" t="str">
        <f t="shared" si="0"/>
        <v>Completed</v>
      </c>
    </row>
    <row r="16" spans="1:9">
      <c r="B16" t="s">
        <v>714</v>
      </c>
      <c r="E16" s="643" t="str">
        <f>'Bridgeport Service Counts'!G3</f>
        <v>C</v>
      </c>
      <c r="F16" t="str">
        <f t="shared" si="0"/>
        <v>Completed</v>
      </c>
    </row>
    <row r="19" spans="1:6">
      <c r="A19" t="s">
        <v>713</v>
      </c>
    </row>
    <row r="20" spans="1:6">
      <c r="B20" t="s">
        <v>712</v>
      </c>
      <c r="E20" s="643" t="str">
        <f>'Lurito-Old'!F3</f>
        <v>C</v>
      </c>
      <c r="F20" t="str">
        <f t="shared" ref="F20:F35" si="1">IF(E20="a",$F$2,IF(E20="p",$F$3,IF(E20="c",$F$4,"err")))</f>
        <v>Completed</v>
      </c>
    </row>
    <row r="21" spans="1:6">
      <c r="B21" s="643" t="s">
        <v>1355</v>
      </c>
      <c r="E21" s="643" t="str">
        <f>'Results of Operations Staff '!D3</f>
        <v>C</v>
      </c>
      <c r="F21" t="str">
        <f t="shared" si="1"/>
        <v>Completed</v>
      </c>
    </row>
    <row r="22" spans="1:6">
      <c r="B22" s="643" t="s">
        <v>1356</v>
      </c>
      <c r="E22" s="643" t="str">
        <f>'Results of Operations Regulated'!D3</f>
        <v>C</v>
      </c>
      <c r="F22" t="str">
        <f t="shared" ref="F22:F23" si="2">IF(E22="a",$F$2,IF(E22="p",$F$3,IF(E22="c",$F$4,"err")))</f>
        <v>Completed</v>
      </c>
    </row>
    <row r="23" spans="1:6">
      <c r="B23" s="643" t="s">
        <v>1357</v>
      </c>
      <c r="E23" s="643" t="str">
        <f>'Staff Pro Forma'!D3</f>
        <v>C</v>
      </c>
      <c r="F23" t="str">
        <f t="shared" si="2"/>
        <v>Completed</v>
      </c>
    </row>
    <row r="24" spans="1:6">
      <c r="B24" t="s">
        <v>199</v>
      </c>
      <c r="E24" s="643" t="str">
        <f>'Restating AJEs'!E3</f>
        <v>C</v>
      </c>
      <c r="F24" t="str">
        <f>IF(E24="a",$F$2,IF(E24="p",$F$3,IF(E24="c",$F$4,"err")))</f>
        <v>Completed</v>
      </c>
    </row>
    <row r="25" spans="1:6">
      <c r="B25" t="s">
        <v>254</v>
      </c>
      <c r="E25" s="643" t="str">
        <f>'Proforma AJEs'!E3</f>
        <v>C</v>
      </c>
      <c r="F25" t="str">
        <f t="shared" si="1"/>
        <v>Completed</v>
      </c>
    </row>
    <row r="26" spans="1:6">
      <c r="B26" t="s">
        <v>697</v>
      </c>
      <c r="E26" s="643" t="str">
        <f>'Cost Allocations'!G3</f>
        <v>C</v>
      </c>
      <c r="F26" t="str">
        <f t="shared" si="1"/>
        <v>Completed</v>
      </c>
    </row>
    <row r="27" spans="1:6">
      <c r="B27" s="643" t="s">
        <v>1352</v>
      </c>
      <c r="E27" s="643" t="str">
        <f>'Cost Allocations-Contracts'!G3</f>
        <v>C</v>
      </c>
      <c r="F27" t="str">
        <f t="shared" ref="F27:F29" si="3">IF(E27="a",$F$2,IF(E27="p",$F$3,IF(E27="c",$F$4,"err")))</f>
        <v>Completed</v>
      </c>
    </row>
    <row r="28" spans="1:6">
      <c r="B28" s="643" t="s">
        <v>1353</v>
      </c>
      <c r="E28" s="643" t="str">
        <f>'Cost Allocations-Recycle'!E3</f>
        <v>C</v>
      </c>
      <c r="F28" t="str">
        <f t="shared" si="3"/>
        <v>Completed</v>
      </c>
    </row>
    <row r="29" spans="1:6">
      <c r="B29" s="643" t="s">
        <v>1354</v>
      </c>
      <c r="E29" s="643" t="str">
        <f>'Cost Allocations-Rolloff'!F3</f>
        <v>C</v>
      </c>
      <c r="F29" t="str">
        <f t="shared" si="3"/>
        <v>Completed</v>
      </c>
    </row>
    <row r="30" spans="1:6">
      <c r="B30" t="s">
        <v>695</v>
      </c>
      <c r="E30" s="643" t="str">
        <f>'Depr Allocation'!E3</f>
        <v>C</v>
      </c>
      <c r="F30" t="str">
        <f t="shared" si="1"/>
        <v>Completed</v>
      </c>
    </row>
    <row r="31" spans="1:6">
      <c r="B31" t="s">
        <v>694</v>
      </c>
      <c r="E31" s="643" t="str">
        <f>'Hours &amp; Miles'!G3</f>
        <v>C</v>
      </c>
      <c r="F31" t="str">
        <f t="shared" si="1"/>
        <v>Completed</v>
      </c>
    </row>
    <row r="32" spans="1:6">
      <c r="B32" t="s">
        <v>693</v>
      </c>
      <c r="E32" s="643" t="str">
        <f>'Container Count'!E3</f>
        <v>C</v>
      </c>
      <c r="F32" t="str">
        <f t="shared" si="1"/>
        <v>Completed</v>
      </c>
    </row>
    <row r="33" spans="1:10">
      <c r="B33" s="643" t="s">
        <v>1113</v>
      </c>
      <c r="E33" s="643" t="str">
        <f>DEPN2K!D2</f>
        <v>C</v>
      </c>
      <c r="F33" t="str">
        <f t="shared" si="1"/>
        <v>Completed</v>
      </c>
    </row>
    <row r="34" spans="1:10">
      <c r="B34" t="s">
        <v>711</v>
      </c>
      <c r="E34" s="643" t="str">
        <f>'Wutc Balance Sheet'!G2</f>
        <v>C</v>
      </c>
      <c r="F34" t="str">
        <f t="shared" si="1"/>
        <v>Completed</v>
      </c>
    </row>
    <row r="35" spans="1:10">
      <c r="B35" t="s">
        <v>710</v>
      </c>
      <c r="E35" s="643" t="str">
        <f>'Monthy Income Statements'!E3</f>
        <v>C</v>
      </c>
      <c r="F35" t="str">
        <f t="shared" si="1"/>
        <v>Completed</v>
      </c>
    </row>
    <row r="38" spans="1:10">
      <c r="A38" t="s">
        <v>661</v>
      </c>
    </row>
    <row r="39" spans="1:10">
      <c r="B39" t="s">
        <v>564</v>
      </c>
      <c r="E39" s="643" t="str">
        <f>'Wage Summary'!E3</f>
        <v>C</v>
      </c>
      <c r="F39" t="str">
        <f t="shared" ref="F39:F48" si="4">IF(E39="a",$F$2,IF(E39="p",$F$3,IF(E39="c",$F$4,"err")))</f>
        <v>Completed</v>
      </c>
    </row>
    <row r="40" spans="1:10">
      <c r="B40" t="s">
        <v>709</v>
      </c>
      <c r="E40" s="643" t="str">
        <f>'L&amp;I'!E3</f>
        <v>C</v>
      </c>
      <c r="F40" t="str">
        <f t="shared" si="4"/>
        <v>Completed</v>
      </c>
      <c r="H40" s="70"/>
    </row>
    <row r="41" spans="1:10">
      <c r="B41" t="s">
        <v>708</v>
      </c>
      <c r="E41" s="643" t="str">
        <f>'Health Insurance'!F3</f>
        <v>C</v>
      </c>
      <c r="F41" t="str">
        <f t="shared" si="4"/>
        <v>Completed</v>
      </c>
    </row>
    <row r="42" spans="1:10">
      <c r="B42" t="s">
        <v>707</v>
      </c>
      <c r="E42" s="643" t="str">
        <f>'City Contracts'!E3</f>
        <v>C</v>
      </c>
      <c r="F42" t="str">
        <f t="shared" si="4"/>
        <v>Completed</v>
      </c>
    </row>
    <row r="43" spans="1:10">
      <c r="B43" t="s">
        <v>599</v>
      </c>
      <c r="E43" s="643" t="str">
        <f>'Disposal Fees'!E3</f>
        <v>C</v>
      </c>
      <c r="F43" t="str">
        <f t="shared" si="4"/>
        <v>Completed</v>
      </c>
    </row>
    <row r="44" spans="1:10">
      <c r="B44" t="s">
        <v>706</v>
      </c>
      <c r="E44" s="83" t="str">
        <f>'Previous rate increases'!G2</f>
        <v>C</v>
      </c>
      <c r="F44" t="str">
        <f t="shared" si="4"/>
        <v>Completed</v>
      </c>
    </row>
    <row r="45" spans="1:10">
      <c r="B45" t="s">
        <v>653</v>
      </c>
      <c r="E45" s="643" t="str">
        <f>'Fuel Summary'!E3</f>
        <v>C</v>
      </c>
      <c r="F45" t="str">
        <f t="shared" si="4"/>
        <v>Completed</v>
      </c>
    </row>
    <row r="46" spans="1:10">
      <c r="B46" t="s">
        <v>705</v>
      </c>
      <c r="E46" s="643" t="str">
        <f>'Fuel Proforma'!E3</f>
        <v>C</v>
      </c>
      <c r="F46" t="str">
        <f t="shared" si="4"/>
        <v>Completed</v>
      </c>
    </row>
    <row r="47" spans="1:10">
      <c r="B47" t="s">
        <v>704</v>
      </c>
      <c r="E47" s="643" t="str">
        <f>'Employment Security'!E3</f>
        <v>C</v>
      </c>
      <c r="F47" t="str">
        <f t="shared" si="4"/>
        <v>Completed</v>
      </c>
      <c r="H47" s="83"/>
      <c r="J47" t="s">
        <v>326</v>
      </c>
    </row>
    <row r="48" spans="1:10">
      <c r="B48" s="643" t="s">
        <v>1340</v>
      </c>
      <c r="E48" t="str">
        <f>Rent!F3</f>
        <v>C</v>
      </c>
      <c r="F48" t="str">
        <f t="shared" si="4"/>
        <v>Completed</v>
      </c>
    </row>
    <row r="50" spans="1:6">
      <c r="A50" t="s">
        <v>301</v>
      </c>
    </row>
    <row r="51" spans="1:6">
      <c r="B51" t="s">
        <v>703</v>
      </c>
      <c r="E51" s="643" t="str">
        <f>'Priceout-Chelan'!F4</f>
        <v>C</v>
      </c>
      <c r="F51" t="str">
        <f t="shared" ref="F51:F65" si="5">IF(E51="a",$F$2,IF(E51="p",$F$3,IF(E51="c",$F$4,"err")))</f>
        <v>Completed</v>
      </c>
    </row>
    <row r="52" spans="1:6">
      <c r="B52" t="s">
        <v>702</v>
      </c>
      <c r="E52" s="643" t="str">
        <f>'Priceout-Douglas'!F4</f>
        <v>c</v>
      </c>
      <c r="F52" t="str">
        <f t="shared" si="5"/>
        <v>Completed</v>
      </c>
    </row>
    <row r="53" spans="1:6">
      <c r="B53" t="s">
        <v>701</v>
      </c>
      <c r="E53" s="643" t="str">
        <f>'Priceout-Okanogan'!F4</f>
        <v>C</v>
      </c>
      <c r="F53" t="str">
        <f t="shared" si="5"/>
        <v>Completed</v>
      </c>
    </row>
    <row r="54" spans="1:6">
      <c r="B54" t="s">
        <v>700</v>
      </c>
      <c r="E54" s="643" t="str">
        <f>'Lurito Old-Chelan'!E3</f>
        <v>C</v>
      </c>
      <c r="F54" t="str">
        <f t="shared" si="5"/>
        <v>Completed</v>
      </c>
    </row>
    <row r="55" spans="1:6">
      <c r="B55" t="s">
        <v>699</v>
      </c>
      <c r="E55" s="643" t="str">
        <f>'Lurito Old-Douglas'!E3</f>
        <v>C</v>
      </c>
      <c r="F55" t="str">
        <f t="shared" si="5"/>
        <v>Completed</v>
      </c>
    </row>
    <row r="56" spans="1:6">
      <c r="B56" t="s">
        <v>698</v>
      </c>
      <c r="E56" s="643" t="str">
        <f>'Lurito Old-Okanogan'!E3</f>
        <v>C</v>
      </c>
      <c r="F56" t="str">
        <f t="shared" si="5"/>
        <v>Completed</v>
      </c>
    </row>
    <row r="57" spans="1:6">
      <c r="B57" t="s">
        <v>253</v>
      </c>
      <c r="E57" s="643" t="str">
        <f>'Results of Operations Staff '!D3</f>
        <v>C</v>
      </c>
      <c r="F57" t="str">
        <f t="shared" si="5"/>
        <v>Completed</v>
      </c>
    </row>
    <row r="58" spans="1:6">
      <c r="B58" t="s">
        <v>697</v>
      </c>
      <c r="E58" s="643" t="str">
        <f>'Cost Allocations'!G3</f>
        <v>C</v>
      </c>
      <c r="F58" t="str">
        <f t="shared" si="5"/>
        <v>Completed</v>
      </c>
    </row>
    <row r="59" spans="1:6">
      <c r="B59" t="s">
        <v>696</v>
      </c>
      <c r="E59" s="643" t="str">
        <f>'Overhead Allocation'!F3</f>
        <v>C</v>
      </c>
      <c r="F59" t="str">
        <f t="shared" si="5"/>
        <v>Completed</v>
      </c>
    </row>
    <row r="60" spans="1:6">
      <c r="B60" t="s">
        <v>695</v>
      </c>
      <c r="E60" s="643" t="str">
        <f>'Depr Allocation by County'!E3</f>
        <v>C</v>
      </c>
      <c r="F60" t="str">
        <f t="shared" si="5"/>
        <v>Completed</v>
      </c>
    </row>
    <row r="61" spans="1:6">
      <c r="B61" t="s">
        <v>694</v>
      </c>
      <c r="E61" s="643" t="str">
        <f>'Hours &amp; Miles by County'!G3</f>
        <v>C</v>
      </c>
      <c r="F61" t="str">
        <f t="shared" si="5"/>
        <v>Completed</v>
      </c>
    </row>
    <row r="62" spans="1:6">
      <c r="B62" t="s">
        <v>693</v>
      </c>
      <c r="E62" s="643" t="str">
        <f>'Container Count by County'!E3</f>
        <v>C</v>
      </c>
      <c r="F62" t="str">
        <f t="shared" si="5"/>
        <v>Completed</v>
      </c>
    </row>
    <row r="63" spans="1:6">
      <c r="B63" t="s">
        <v>692</v>
      </c>
      <c r="E63" s="643" t="str">
        <f>'Drop Box Allocation'!E3</f>
        <v>C</v>
      </c>
      <c r="F63" t="str">
        <f t="shared" si="5"/>
        <v>Completed</v>
      </c>
    </row>
    <row r="64" spans="1:6">
      <c r="B64" t="s">
        <v>519</v>
      </c>
      <c r="E64" s="643" t="str">
        <f>'Disposal Fee Breakdown'!E3</f>
        <v>C</v>
      </c>
      <c r="F64" t="str">
        <f t="shared" si="5"/>
        <v>Completed</v>
      </c>
    </row>
    <row r="65" spans="1:6">
      <c r="B65" t="s">
        <v>691</v>
      </c>
      <c r="E65" s="643" t="str">
        <f>'Service Counts'!E2</f>
        <v>C</v>
      </c>
      <c r="F65" t="str">
        <f t="shared" si="5"/>
        <v>Completed</v>
      </c>
    </row>
    <row r="71" spans="1:6">
      <c r="A71" t="s">
        <v>690</v>
      </c>
    </row>
    <row r="72" spans="1:6">
      <c r="B72" t="s">
        <v>688</v>
      </c>
      <c r="E72" t="s">
        <v>678</v>
      </c>
      <c r="F72" t="str">
        <f>IF(E72="a",$F$2,IF(E72="p",$F$3,IF(E72="c",$F$4,"err")))</f>
        <v>Awaiting Data</v>
      </c>
    </row>
    <row r="73" spans="1:6">
      <c r="B73" t="s">
        <v>687</v>
      </c>
      <c r="E73" t="s">
        <v>678</v>
      </c>
      <c r="F73" t="str">
        <f>IF(E73="a",$F$2,IF(E73="p",$F$3,IF(E73="c",$F$4,"err")))</f>
        <v>Awaiting Data</v>
      </c>
    </row>
    <row r="74" spans="1:6">
      <c r="B74" s="127" t="s">
        <v>686</v>
      </c>
    </row>
    <row r="75" spans="1:6">
      <c r="B75" s="83" t="s">
        <v>685</v>
      </c>
    </row>
    <row r="76" spans="1:6">
      <c r="B76" t="s">
        <v>684</v>
      </c>
      <c r="E76" t="s">
        <v>678</v>
      </c>
      <c r="F76" t="str">
        <f t="shared" ref="F76:F81" si="6">IF(E76="a",$F$2,IF(E76="p",$F$3,IF(E76="c",$F$4,"err")))</f>
        <v>Awaiting Data</v>
      </c>
    </row>
    <row r="77" spans="1:6">
      <c r="B77" t="s">
        <v>683</v>
      </c>
      <c r="E77" t="s">
        <v>678</v>
      </c>
      <c r="F77" t="str">
        <f t="shared" si="6"/>
        <v>Awaiting Data</v>
      </c>
    </row>
    <row r="78" spans="1:6">
      <c r="B78" t="s">
        <v>682</v>
      </c>
      <c r="E78" t="s">
        <v>678</v>
      </c>
      <c r="F78" t="str">
        <f t="shared" si="6"/>
        <v>Awaiting Data</v>
      </c>
    </row>
    <row r="79" spans="1:6">
      <c r="B79" t="s">
        <v>681</v>
      </c>
      <c r="E79" t="s">
        <v>678</v>
      </c>
      <c r="F79" t="str">
        <f t="shared" si="6"/>
        <v>Awaiting Data</v>
      </c>
    </row>
    <row r="80" spans="1:6">
      <c r="B80" t="s">
        <v>680</v>
      </c>
      <c r="E80" t="s">
        <v>678</v>
      </c>
      <c r="F80" t="str">
        <f t="shared" si="6"/>
        <v>Awaiting Data</v>
      </c>
    </row>
    <row r="81" spans="2:6">
      <c r="B81" t="s">
        <v>679</v>
      </c>
      <c r="E81" t="s">
        <v>678</v>
      </c>
      <c r="F81" t="str">
        <f t="shared" si="6"/>
        <v>Awaiting Data</v>
      </c>
    </row>
    <row r="292" spans="14:14">
      <c r="N292" s="83" t="s">
        <v>541</v>
      </c>
    </row>
  </sheetData>
  <conditionalFormatting sqref="F39:F47 F10:F11 F14:F16 F51:F65 F20:F21 F30:F35 F24:F26 F72:F81">
    <cfRule type="cellIs" dxfId="14" priority="13" stopIfTrue="1" operator="equal">
      <formula>$F$2</formula>
    </cfRule>
    <cfRule type="cellIs" dxfId="13" priority="14" stopIfTrue="1" operator="equal">
      <formula>$F$3</formula>
    </cfRule>
    <cfRule type="cellIs" dxfId="12" priority="15" stopIfTrue="1" operator="equal">
      <formula>$F$4</formula>
    </cfRule>
  </conditionalFormatting>
  <conditionalFormatting sqref="F12:F13">
    <cfRule type="cellIs" dxfId="11" priority="10" stopIfTrue="1" operator="equal">
      <formula>$F$2</formula>
    </cfRule>
    <cfRule type="cellIs" dxfId="10" priority="11" stopIfTrue="1" operator="equal">
      <formula>$F$3</formula>
    </cfRule>
    <cfRule type="cellIs" dxfId="9" priority="12" stopIfTrue="1" operator="equal">
      <formula>$F$4</formula>
    </cfRule>
  </conditionalFormatting>
  <conditionalFormatting sqref="F48">
    <cfRule type="cellIs" dxfId="8" priority="7" stopIfTrue="1" operator="equal">
      <formula>$F$2</formula>
    </cfRule>
    <cfRule type="cellIs" dxfId="7" priority="8" stopIfTrue="1" operator="equal">
      <formula>$F$3</formula>
    </cfRule>
    <cfRule type="cellIs" dxfId="6" priority="9" stopIfTrue="1" operator="equal">
      <formula>$F$4</formula>
    </cfRule>
  </conditionalFormatting>
  <conditionalFormatting sqref="F27:F29">
    <cfRule type="cellIs" dxfId="5" priority="4" stopIfTrue="1" operator="equal">
      <formula>$F$2</formula>
    </cfRule>
    <cfRule type="cellIs" dxfId="4" priority="5" stopIfTrue="1" operator="equal">
      <formula>$F$3</formula>
    </cfRule>
    <cfRule type="cellIs" dxfId="3" priority="6" stopIfTrue="1" operator="equal">
      <formula>$F$4</formula>
    </cfRule>
  </conditionalFormatting>
  <conditionalFormatting sqref="F22:F23">
    <cfRule type="cellIs" dxfId="2" priority="1" stopIfTrue="1" operator="equal">
      <formula>$F$2</formula>
    </cfRule>
    <cfRule type="cellIs" dxfId="1" priority="2" stopIfTrue="1" operator="equal">
      <formula>$F$3</formula>
    </cfRule>
    <cfRule type="cellIs" dxfId="0" priority="3" stopIfTrue="1" operator="equal">
      <formula>$F$4</formula>
    </cfRule>
  </conditionalFormatting>
  <pageMargins left="0.24" right="0.23" top="0.45" bottom="0.48" header="0.45" footer="0.5"/>
  <pageSetup orientation="portrait" horizontalDpi="4294967293" verticalDpi="4294967293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topLeftCell="A10" workbookViewId="0">
      <selection activeCell="I38" sqref="I38"/>
    </sheetView>
  </sheetViews>
  <sheetFormatPr defaultRowHeight="12.75"/>
  <cols>
    <col min="1" max="1" width="10.140625" bestFit="1" customWidth="1"/>
    <col min="3" max="3" width="10.42578125" customWidth="1"/>
    <col min="4" max="4" width="10.7109375" customWidth="1"/>
    <col min="5" max="5" width="11.28515625" customWidth="1"/>
    <col min="6" max="6" width="9.85546875" customWidth="1"/>
    <col min="7" max="7" width="11.28515625" customWidth="1"/>
    <col min="8" max="8" width="10" customWidth="1"/>
    <col min="9" max="12" width="10.85546875" customWidth="1"/>
    <col min="13" max="13" width="12.5703125" customWidth="1"/>
    <col min="14" max="14" width="11.28515625" customWidth="1"/>
  </cols>
  <sheetData>
    <row r="1" spans="1:5">
      <c r="A1" t="s">
        <v>0</v>
      </c>
    </row>
    <row r="3" spans="1:5">
      <c r="A3" t="s">
        <v>743</v>
      </c>
      <c r="D3" s="643" t="s">
        <v>1342</v>
      </c>
      <c r="E3" s="647" t="s">
        <v>689</v>
      </c>
    </row>
    <row r="5" spans="1:5">
      <c r="A5" s="640">
        <v>44834</v>
      </c>
    </row>
    <row r="8" spans="1:5">
      <c r="A8" s="127" t="s">
        <v>742</v>
      </c>
    </row>
    <row r="10" spans="1:5">
      <c r="A10" t="s">
        <v>741</v>
      </c>
      <c r="E10" s="245">
        <v>1.7500000000000002E-2</v>
      </c>
    </row>
    <row r="11" spans="1:5">
      <c r="A11" t="s">
        <v>740</v>
      </c>
      <c r="E11" s="245">
        <v>4.7100000000000003E-2</v>
      </c>
    </row>
    <row r="12" spans="1:5">
      <c r="E12" s="245"/>
    </row>
    <row r="13" spans="1:5">
      <c r="A13" t="s">
        <v>739</v>
      </c>
      <c r="E13" s="285">
        <v>3.5999999999999997E-2</v>
      </c>
    </row>
    <row r="17" spans="1:15">
      <c r="A17" s="127" t="s">
        <v>738</v>
      </c>
      <c r="B17" s="127"/>
      <c r="C17" s="127"/>
      <c r="D17" s="127"/>
    </row>
    <row r="20" spans="1:15">
      <c r="C20" s="2" t="s">
        <v>190</v>
      </c>
      <c r="D20" s="2" t="s">
        <v>262</v>
      </c>
      <c r="E20" s="2"/>
      <c r="F20" s="2"/>
      <c r="G20" s="2" t="s">
        <v>262</v>
      </c>
      <c r="H20" s="2" t="s">
        <v>193</v>
      </c>
      <c r="I20" s="2" t="s">
        <v>194</v>
      </c>
      <c r="J20" s="284" t="s">
        <v>737</v>
      </c>
      <c r="K20" s="284" t="s">
        <v>737</v>
      </c>
      <c r="L20" s="90" t="s">
        <v>736</v>
      </c>
      <c r="M20" s="2"/>
    </row>
    <row r="21" spans="1:15" ht="13.5" thickBot="1">
      <c r="C21" s="20" t="s">
        <v>191</v>
      </c>
      <c r="D21" s="20" t="s">
        <v>191</v>
      </c>
      <c r="E21" s="20" t="s">
        <v>192</v>
      </c>
      <c r="F21" s="20" t="s">
        <v>315</v>
      </c>
      <c r="G21" s="20" t="s">
        <v>192</v>
      </c>
      <c r="H21" s="20" t="s">
        <v>191</v>
      </c>
      <c r="I21" s="20" t="s">
        <v>191</v>
      </c>
      <c r="J21" s="283" t="s">
        <v>315</v>
      </c>
      <c r="K21" s="283" t="s">
        <v>191</v>
      </c>
      <c r="L21" s="92" t="s">
        <v>735</v>
      </c>
      <c r="M21" s="20" t="s">
        <v>2</v>
      </c>
    </row>
    <row r="22" spans="1:15">
      <c r="O22" s="282"/>
    </row>
    <row r="23" spans="1:15" ht="13.5" thickBot="1">
      <c r="A23" t="s">
        <v>734</v>
      </c>
      <c r="C23" s="281">
        <f>+DEPN2K!$T$36+DEPN2K!$T$59</f>
        <v>207333.85714285716</v>
      </c>
      <c r="D23" s="281">
        <f>+DEPN2K!$T$68</f>
        <v>753.85714285714289</v>
      </c>
      <c r="E23" s="281">
        <f>+DEPN2K!$T$203</f>
        <v>22002.012916666659</v>
      </c>
      <c r="F23" s="281">
        <f>+DEPN2K!$T$233</f>
        <v>20359.166333333331</v>
      </c>
      <c r="G23" s="281">
        <f>+DEPN2K!$T$270</f>
        <v>10478.449999999986</v>
      </c>
      <c r="H23" s="281">
        <f>+DEPN2K!$T$317</f>
        <v>3624.7666666666628</v>
      </c>
      <c r="I23" s="281">
        <f>+DEPN2K!$T$351</f>
        <v>647</v>
      </c>
      <c r="J23" s="281">
        <f>+DEPN2K!$T$277</f>
        <v>2969.2999999999997</v>
      </c>
      <c r="K23" s="281">
        <f>+DEPN2K!$T$285</f>
        <v>670.28571428571422</v>
      </c>
      <c r="L23" s="281">
        <f>+DEPN2K!$T$325</f>
        <v>0</v>
      </c>
      <c r="M23" s="165">
        <f>ROUND(SUM(C23:L23),0)</f>
        <v>268839</v>
      </c>
      <c r="N23" s="280" t="str">
        <f>+IF(M23=DEPN2K!$T$354,"OK","ERROR")</f>
        <v>OK</v>
      </c>
    </row>
    <row r="24" spans="1:15" ht="13.5" thickTop="1">
      <c r="B24" s="279" t="s">
        <v>733</v>
      </c>
      <c r="C24" s="279"/>
      <c r="D24" s="279"/>
      <c r="E24" s="279"/>
      <c r="F24" s="279"/>
    </row>
    <row r="26" spans="1:15">
      <c r="A26" t="s">
        <v>732</v>
      </c>
      <c r="D26" s="418">
        <f>DEPN2K!AB354</f>
        <v>1163216.9069047619</v>
      </c>
    </row>
    <row r="27" spans="1:15">
      <c r="D27" s="278"/>
    </row>
    <row r="30" spans="1:15">
      <c r="A30" s="127" t="s">
        <v>731</v>
      </c>
      <c r="B30" s="127"/>
      <c r="C30" s="127"/>
    </row>
    <row r="31" spans="1:15">
      <c r="A31" s="643" t="s">
        <v>1468</v>
      </c>
    </row>
    <row r="33" spans="1:14">
      <c r="A33" t="s">
        <v>476</v>
      </c>
      <c r="D33" s="708">
        <f>SUM(G43:G47)</f>
        <v>3186</v>
      </c>
      <c r="E33" s="11">
        <f>+D33/D37</f>
        <v>0.86061588330632088</v>
      </c>
      <c r="G33" s="277"/>
    </row>
    <row r="34" spans="1:14">
      <c r="A34" t="s">
        <v>472</v>
      </c>
      <c r="D34" s="708">
        <f>+SUM(H43:H45)</f>
        <v>240</v>
      </c>
      <c r="E34" s="11">
        <f>+D34/D37</f>
        <v>6.4829821717990274E-2</v>
      </c>
      <c r="G34" s="277"/>
    </row>
    <row r="35" spans="1:14">
      <c r="A35" t="s">
        <v>471</v>
      </c>
      <c r="D35" s="709">
        <f>SUM(I43:I45)</f>
        <v>276</v>
      </c>
      <c r="E35" s="161">
        <f>+D35/D37</f>
        <v>7.4554294975688815E-2</v>
      </c>
      <c r="G35" s="277"/>
      <c r="N35" s="245"/>
    </row>
    <row r="36" spans="1:14">
      <c r="D36" s="99"/>
      <c r="E36" s="11"/>
      <c r="G36" s="276"/>
    </row>
    <row r="37" spans="1:14" ht="13.5" thickBot="1">
      <c r="D37" s="162">
        <f>SUM(D33:D35)</f>
        <v>3702</v>
      </c>
      <c r="E37" s="14">
        <f>SUM(E33:E35)</f>
        <v>0.99999999999999989</v>
      </c>
      <c r="G37" s="276"/>
    </row>
    <row r="38" spans="1:14" ht="13.5" thickTop="1">
      <c r="G38" s="18"/>
    </row>
    <row r="39" spans="1:14">
      <c r="G39" s="18"/>
    </row>
    <row r="40" spans="1:14">
      <c r="A40" s="127" t="s">
        <v>730</v>
      </c>
      <c r="B40" s="127"/>
      <c r="C40" s="127"/>
      <c r="D40" s="127"/>
      <c r="G40" s="235"/>
    </row>
    <row r="41" spans="1:14">
      <c r="A41" s="643" t="s">
        <v>1468</v>
      </c>
      <c r="F41" s="90"/>
      <c r="G41" s="18"/>
    </row>
    <row r="42" spans="1:14">
      <c r="F42" s="90"/>
      <c r="G42" s="93" t="s">
        <v>473</v>
      </c>
      <c r="H42" s="674" t="s">
        <v>1360</v>
      </c>
      <c r="I42" s="674" t="s">
        <v>471</v>
      </c>
    </row>
    <row r="43" spans="1:14">
      <c r="A43" t="s">
        <v>729</v>
      </c>
      <c r="D43" s="708">
        <f>+G43+H43+I43</f>
        <v>2921</v>
      </c>
      <c r="E43" s="10">
        <f>+D43/D49</f>
        <v>0.78903295515937333</v>
      </c>
      <c r="G43" s="277">
        <v>2499</v>
      </c>
      <c r="H43" s="277">
        <v>210</v>
      </c>
      <c r="I43" s="277">
        <v>212</v>
      </c>
    </row>
    <row r="44" spans="1:14">
      <c r="A44" t="s">
        <v>337</v>
      </c>
      <c r="D44" s="708">
        <f t="shared" ref="D44:D47" si="0">+G44+H44+I44</f>
        <v>395</v>
      </c>
      <c r="E44" s="10">
        <f>+D44/D49</f>
        <v>0.10669908157752567</v>
      </c>
      <c r="G44" s="277">
        <v>312</v>
      </c>
      <c r="H44" s="277">
        <v>28</v>
      </c>
      <c r="I44" s="277">
        <v>55</v>
      </c>
    </row>
    <row r="45" spans="1:14">
      <c r="A45" s="83" t="s">
        <v>310</v>
      </c>
      <c r="D45" s="708">
        <f t="shared" si="0"/>
        <v>39</v>
      </c>
      <c r="E45" s="10">
        <f>+D45/D49</f>
        <v>1.0534846029173419E-2</v>
      </c>
      <c r="G45" s="277">
        <v>28</v>
      </c>
      <c r="H45" s="277">
        <v>2</v>
      </c>
      <c r="I45" s="277">
        <v>9</v>
      </c>
    </row>
    <row r="46" spans="1:14">
      <c r="A46" s="83" t="s">
        <v>327</v>
      </c>
      <c r="D46" s="708">
        <f t="shared" si="0"/>
        <v>319</v>
      </c>
      <c r="E46" s="10">
        <f>+D46/D49</f>
        <v>8.6169638033495408E-2</v>
      </c>
      <c r="G46" s="277">
        <v>319</v>
      </c>
      <c r="H46" s="10"/>
    </row>
    <row r="47" spans="1:14">
      <c r="A47" s="83" t="s">
        <v>360</v>
      </c>
      <c r="D47" s="709">
        <f t="shared" si="0"/>
        <v>28</v>
      </c>
      <c r="E47" s="42">
        <f>+D47/D49</f>
        <v>7.5634792004321992E-3</v>
      </c>
      <c r="G47" s="277">
        <v>28</v>
      </c>
      <c r="H47" s="170"/>
    </row>
    <row r="48" spans="1:14">
      <c r="D48" s="99"/>
      <c r="E48" s="11"/>
      <c r="G48" s="276"/>
      <c r="H48" s="96"/>
    </row>
    <row r="49" spans="4:8" ht="13.5" thickBot="1">
      <c r="D49" s="162">
        <f>SUM(D43:D47)</f>
        <v>3702</v>
      </c>
      <c r="E49" s="14">
        <f>SUM(E43:E47)</f>
        <v>1</v>
      </c>
      <c r="G49" s="276"/>
      <c r="H49" s="96"/>
    </row>
    <row r="50" spans="4:8" ht="13.5" thickTop="1">
      <c r="G50" s="18"/>
      <c r="H50" s="18"/>
    </row>
    <row r="51" spans="4:8">
      <c r="G51" s="18"/>
    </row>
  </sheetData>
  <pageMargins left="0.75" right="0.75" top="1" bottom="1" header="0.5" footer="0.5"/>
  <pageSetup scale="77" orientation="portrait" horizontalDpi="300" verticalDpi="300" r:id="rId1"/>
  <headerFooter alignWithMargins="0"/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73"/>
  <sheetViews>
    <sheetView topLeftCell="A22" zoomScaleNormal="100" workbookViewId="0">
      <selection activeCell="H53" sqref="H53"/>
    </sheetView>
  </sheetViews>
  <sheetFormatPr defaultRowHeight="12.75"/>
  <cols>
    <col min="1" max="1" width="12.140625" customWidth="1"/>
    <col min="2" max="3" width="10.42578125" customWidth="1"/>
    <col min="4" max="4" width="10" customWidth="1"/>
    <col min="5" max="5" width="10.42578125" customWidth="1"/>
    <col min="6" max="6" width="10" customWidth="1"/>
    <col min="7" max="7" width="9.85546875" customWidth="1"/>
    <col min="8" max="9" width="10.140625" customWidth="1"/>
    <col min="10" max="13" width="10.42578125" customWidth="1"/>
    <col min="14" max="14" width="10.5703125" customWidth="1"/>
    <col min="15" max="15" width="10.140625" customWidth="1"/>
    <col min="16" max="16" width="10.85546875" customWidth="1"/>
    <col min="17" max="17" width="10.7109375" customWidth="1"/>
  </cols>
  <sheetData>
    <row r="1" spans="1:58">
      <c r="A1" t="s">
        <v>0</v>
      </c>
    </row>
    <row r="3" spans="1:58">
      <c r="A3" s="642" t="s">
        <v>1437</v>
      </c>
      <c r="C3" s="662"/>
      <c r="D3" s="643" t="s">
        <v>1343</v>
      </c>
      <c r="E3" s="704" t="s">
        <v>689</v>
      </c>
      <c r="F3" s="654"/>
      <c r="G3" s="195"/>
      <c r="H3" s="195"/>
    </row>
    <row r="5" spans="1:58">
      <c r="C5" s="127" t="s">
        <v>750</v>
      </c>
    </row>
    <row r="6" spans="1:58">
      <c r="A6" s="127" t="s">
        <v>749</v>
      </c>
    </row>
    <row r="7" spans="1:58">
      <c r="C7" s="712" t="s">
        <v>748</v>
      </c>
      <c r="D7" s="712" t="s">
        <v>503</v>
      </c>
      <c r="E7" s="712" t="s">
        <v>502</v>
      </c>
      <c r="F7" s="713" t="s">
        <v>513</v>
      </c>
      <c r="G7" s="713" t="s">
        <v>512</v>
      </c>
      <c r="H7" s="713" t="s">
        <v>511</v>
      </c>
      <c r="I7" s="712" t="s">
        <v>510</v>
      </c>
      <c r="J7" s="712" t="s">
        <v>509</v>
      </c>
      <c r="K7" s="712" t="s">
        <v>508</v>
      </c>
      <c r="L7" s="712" t="s">
        <v>507</v>
      </c>
      <c r="M7" s="712" t="s">
        <v>506</v>
      </c>
      <c r="N7" s="712" t="s">
        <v>505</v>
      </c>
      <c r="O7" s="2" t="s">
        <v>2</v>
      </c>
      <c r="P7" s="2" t="s">
        <v>106</v>
      </c>
      <c r="R7" s="93"/>
      <c r="S7" s="93"/>
      <c r="T7" s="93"/>
      <c r="U7" s="18"/>
    </row>
    <row r="8" spans="1:58">
      <c r="R8" s="18"/>
      <c r="S8" s="18"/>
      <c r="T8" s="18"/>
      <c r="U8" s="18"/>
    </row>
    <row r="9" spans="1:58">
      <c r="A9" s="16" t="s">
        <v>108</v>
      </c>
      <c r="C9" s="303">
        <v>234</v>
      </c>
      <c r="D9" s="303">
        <v>254</v>
      </c>
      <c r="E9" s="303">
        <v>187</v>
      </c>
      <c r="F9" s="303">
        <v>197</v>
      </c>
      <c r="G9" s="303">
        <v>195</v>
      </c>
      <c r="H9" s="303">
        <v>261</v>
      </c>
      <c r="I9" s="303">
        <v>238</v>
      </c>
      <c r="J9" s="303">
        <v>276</v>
      </c>
      <c r="K9" s="303">
        <v>229</v>
      </c>
      <c r="L9" s="303">
        <v>217</v>
      </c>
      <c r="M9" s="303">
        <v>257</v>
      </c>
      <c r="N9" s="303">
        <v>234</v>
      </c>
      <c r="O9" s="300">
        <f>SUM(C9:N9)</f>
        <v>2779</v>
      </c>
      <c r="P9" s="296">
        <f>+O9/O15</f>
        <v>0.14045994440232498</v>
      </c>
      <c r="Q9" s="286"/>
      <c r="R9" s="716"/>
      <c r="S9" s="716"/>
      <c r="T9" s="716"/>
      <c r="U9" s="287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6"/>
      <c r="AY9" s="286"/>
      <c r="AZ9" s="17"/>
      <c r="BA9" s="17"/>
      <c r="BB9" s="17"/>
      <c r="BC9" s="17"/>
      <c r="BD9" s="17"/>
      <c r="BE9" s="17"/>
      <c r="BF9" s="17"/>
    </row>
    <row r="10" spans="1:58">
      <c r="A10" s="16" t="s">
        <v>109</v>
      </c>
      <c r="C10" s="303">
        <v>89</v>
      </c>
      <c r="D10" s="303">
        <v>103</v>
      </c>
      <c r="E10" s="303">
        <v>77</v>
      </c>
      <c r="F10" s="303">
        <v>66</v>
      </c>
      <c r="G10" s="303">
        <v>70</v>
      </c>
      <c r="H10" s="303">
        <v>92</v>
      </c>
      <c r="I10" s="303">
        <v>81</v>
      </c>
      <c r="J10" s="303">
        <v>99</v>
      </c>
      <c r="K10" s="303">
        <v>96</v>
      </c>
      <c r="L10" s="303">
        <v>95</v>
      </c>
      <c r="M10" s="303">
        <v>118</v>
      </c>
      <c r="N10" s="303">
        <v>98</v>
      </c>
      <c r="O10" s="300">
        <f>SUM(C10:N10)</f>
        <v>1084</v>
      </c>
      <c r="P10" s="296">
        <f>+O10/O15</f>
        <v>5.4788981551680563E-2</v>
      </c>
      <c r="Q10" s="286"/>
      <c r="R10" s="716"/>
      <c r="S10" s="716"/>
      <c r="T10" s="716"/>
      <c r="U10" s="287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  <c r="AN10" s="286"/>
      <c r="AO10" s="286"/>
      <c r="AP10" s="286"/>
      <c r="AQ10" s="286"/>
      <c r="AR10" s="286"/>
      <c r="AS10" s="286"/>
      <c r="AT10" s="286"/>
      <c r="AU10" s="286"/>
      <c r="AV10" s="286"/>
      <c r="AW10" s="286"/>
      <c r="AX10" s="286"/>
      <c r="AY10" s="286"/>
      <c r="AZ10" s="17"/>
      <c r="BA10" s="17"/>
      <c r="BB10" s="17"/>
      <c r="BC10" s="17"/>
      <c r="BD10" s="17"/>
      <c r="BE10" s="17"/>
      <c r="BF10" s="17"/>
    </row>
    <row r="11" spans="1:58">
      <c r="A11" s="16" t="s">
        <v>473</v>
      </c>
      <c r="C11" s="303">
        <v>921</v>
      </c>
      <c r="D11" s="303">
        <v>857</v>
      </c>
      <c r="E11" s="303">
        <v>858</v>
      </c>
      <c r="F11" s="303">
        <v>769</v>
      </c>
      <c r="G11" s="303">
        <v>700</v>
      </c>
      <c r="H11" s="303">
        <v>886</v>
      </c>
      <c r="I11" s="303">
        <v>874</v>
      </c>
      <c r="J11" s="303">
        <v>1039</v>
      </c>
      <c r="K11" s="303">
        <v>1293</v>
      </c>
      <c r="L11" s="303">
        <v>1314</v>
      </c>
      <c r="M11" s="303">
        <v>1418</v>
      </c>
      <c r="N11" s="303">
        <v>1225</v>
      </c>
      <c r="O11" s="300">
        <f>SUM(C11:N11)</f>
        <v>12154</v>
      </c>
      <c r="P11" s="296">
        <f>+O11/O15</f>
        <v>0.6143037654788982</v>
      </c>
      <c r="Q11" s="286"/>
      <c r="R11" s="716"/>
      <c r="S11" s="716"/>
      <c r="T11" s="716"/>
      <c r="U11" s="287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6"/>
      <c r="AQ11" s="286"/>
      <c r="AR11" s="286"/>
      <c r="AS11" s="286"/>
      <c r="AT11" s="286"/>
      <c r="AU11" s="286"/>
      <c r="AV11" s="286"/>
      <c r="AW11" s="286"/>
      <c r="AX11" s="286"/>
      <c r="AY11" s="286"/>
      <c r="AZ11" s="17"/>
      <c r="BA11" s="17"/>
      <c r="BB11" s="17"/>
      <c r="BC11" s="17"/>
      <c r="BD11" s="17"/>
      <c r="BE11" s="17"/>
      <c r="BF11" s="17"/>
    </row>
    <row r="12" spans="1:58">
      <c r="A12" s="16" t="s">
        <v>472</v>
      </c>
      <c r="C12" s="303">
        <v>86</v>
      </c>
      <c r="D12" s="303">
        <v>76</v>
      </c>
      <c r="E12" s="303">
        <v>65</v>
      </c>
      <c r="F12" s="303">
        <v>51</v>
      </c>
      <c r="G12" s="303">
        <v>52</v>
      </c>
      <c r="H12" s="303">
        <v>75</v>
      </c>
      <c r="I12" s="303">
        <v>83</v>
      </c>
      <c r="J12" s="303">
        <v>119</v>
      </c>
      <c r="K12" s="303">
        <v>102</v>
      </c>
      <c r="L12" s="303">
        <v>97</v>
      </c>
      <c r="M12" s="303">
        <v>120</v>
      </c>
      <c r="N12" s="303">
        <v>103</v>
      </c>
      <c r="O12" s="300">
        <f>SUM(C12:N12)</f>
        <v>1029</v>
      </c>
      <c r="P12" s="296">
        <f>+O12/O15</f>
        <v>5.2009097801364673E-2</v>
      </c>
      <c r="Q12" s="286"/>
      <c r="R12" s="716"/>
      <c r="S12" s="716"/>
      <c r="T12" s="716"/>
      <c r="U12" s="287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6"/>
      <c r="AS12" s="286"/>
      <c r="AT12" s="286"/>
      <c r="AU12" s="286"/>
      <c r="AV12" s="286"/>
      <c r="AW12" s="286"/>
      <c r="AX12" s="286"/>
      <c r="AY12" s="286"/>
      <c r="AZ12" s="17"/>
      <c r="BA12" s="17"/>
      <c r="BB12" s="17"/>
      <c r="BC12" s="17"/>
      <c r="BD12" s="17"/>
      <c r="BE12" s="17"/>
      <c r="BF12" s="17"/>
    </row>
    <row r="13" spans="1:58" ht="13.5" thickBot="1">
      <c r="A13" s="16" t="s">
        <v>471</v>
      </c>
      <c r="C13" s="302">
        <v>318</v>
      </c>
      <c r="D13" s="302">
        <v>304</v>
      </c>
      <c r="E13" s="302">
        <v>83</v>
      </c>
      <c r="F13" s="302">
        <v>83</v>
      </c>
      <c r="G13" s="302">
        <v>76</v>
      </c>
      <c r="H13" s="302">
        <v>129</v>
      </c>
      <c r="I13" s="302">
        <v>169</v>
      </c>
      <c r="J13" s="302">
        <v>265</v>
      </c>
      <c r="K13" s="302">
        <v>271</v>
      </c>
      <c r="L13" s="302">
        <v>353</v>
      </c>
      <c r="M13" s="302">
        <v>384</v>
      </c>
      <c r="N13" s="302">
        <v>304</v>
      </c>
      <c r="O13" s="298">
        <f>SUM(C13:N13)</f>
        <v>2739</v>
      </c>
      <c r="P13" s="294">
        <f>+O13/O15</f>
        <v>0.13843821076573162</v>
      </c>
      <c r="Q13" s="286"/>
      <c r="R13" s="716"/>
      <c r="S13" s="716"/>
      <c r="T13" s="716"/>
      <c r="U13" s="287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  <c r="AS13" s="286"/>
      <c r="AT13" s="286"/>
      <c r="AU13" s="286"/>
      <c r="AV13" s="286"/>
      <c r="AW13" s="286"/>
      <c r="AX13" s="286"/>
      <c r="AY13" s="286"/>
      <c r="AZ13" s="17"/>
      <c r="BA13" s="17"/>
      <c r="BB13" s="17"/>
      <c r="BC13" s="17"/>
      <c r="BD13" s="17"/>
      <c r="BE13" s="17"/>
      <c r="BF13" s="17"/>
    </row>
    <row r="14" spans="1:58">
      <c r="A14" s="1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7"/>
      <c r="S14" s="287"/>
      <c r="T14" s="287"/>
      <c r="U14" s="287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6"/>
      <c r="AV14" s="286"/>
      <c r="AW14" s="286"/>
      <c r="AX14" s="286"/>
      <c r="AY14" s="286"/>
      <c r="AZ14" s="17"/>
      <c r="BA14" s="17"/>
      <c r="BB14" s="17"/>
      <c r="BC14" s="17"/>
      <c r="BD14" s="17"/>
      <c r="BE14" s="17"/>
      <c r="BF14" s="17"/>
    </row>
    <row r="15" spans="1:58" ht="13.5" thickBot="1">
      <c r="A15" s="16" t="s">
        <v>2</v>
      </c>
      <c r="C15" s="298">
        <f t="shared" ref="C15:E15" si="0">SUM(C9:C13)</f>
        <v>1648</v>
      </c>
      <c r="D15" s="298">
        <f t="shared" si="0"/>
        <v>1594</v>
      </c>
      <c r="E15" s="298">
        <f t="shared" si="0"/>
        <v>1270</v>
      </c>
      <c r="F15" s="298">
        <f t="shared" ref="F15:M15" si="1">SUM(F9:F13)</f>
        <v>1166</v>
      </c>
      <c r="G15" s="298">
        <f t="shared" si="1"/>
        <v>1093</v>
      </c>
      <c r="H15" s="298">
        <f t="shared" si="1"/>
        <v>1443</v>
      </c>
      <c r="I15" s="298">
        <f t="shared" si="1"/>
        <v>1445</v>
      </c>
      <c r="J15" s="298">
        <f t="shared" si="1"/>
        <v>1798</v>
      </c>
      <c r="K15" s="298">
        <f t="shared" si="1"/>
        <v>1991</v>
      </c>
      <c r="L15" s="298">
        <f t="shared" si="1"/>
        <v>2076</v>
      </c>
      <c r="M15" s="298">
        <f t="shared" si="1"/>
        <v>2297</v>
      </c>
      <c r="N15" s="298">
        <f t="shared" ref="N15:P15" si="2">SUM(N9:N13)</f>
        <v>1964</v>
      </c>
      <c r="O15" s="298">
        <f t="shared" si="2"/>
        <v>19785</v>
      </c>
      <c r="P15" s="294">
        <f t="shared" si="2"/>
        <v>1</v>
      </c>
      <c r="Q15" s="286"/>
      <c r="R15" s="717"/>
      <c r="S15" s="717"/>
      <c r="T15" s="717"/>
      <c r="U15" s="287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  <c r="AO15" s="286"/>
      <c r="AP15" s="286"/>
      <c r="AQ15" s="286"/>
      <c r="AR15" s="286"/>
      <c r="AS15" s="286"/>
      <c r="AT15" s="286"/>
      <c r="AU15" s="286"/>
      <c r="AV15" s="286"/>
      <c r="AW15" s="286"/>
      <c r="AX15" s="286"/>
      <c r="AY15" s="286"/>
      <c r="AZ15" s="17"/>
      <c r="BA15" s="17"/>
      <c r="BB15" s="17"/>
      <c r="BC15" s="17"/>
      <c r="BD15" s="17"/>
      <c r="BE15" s="17"/>
      <c r="BF15" s="17"/>
    </row>
    <row r="16" spans="1:58">
      <c r="A16" s="16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255"/>
      <c r="S16" s="255"/>
      <c r="T16" s="255"/>
      <c r="U16" s="255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</row>
    <row r="17" spans="1:51">
      <c r="A17" s="16" t="s">
        <v>473</v>
      </c>
      <c r="C17" s="300">
        <f t="shared" ref="C17:E17" si="3">C11</f>
        <v>921</v>
      </c>
      <c r="D17" s="300">
        <f t="shared" si="3"/>
        <v>857</v>
      </c>
      <c r="E17" s="300">
        <f t="shared" si="3"/>
        <v>858</v>
      </c>
      <c r="F17" s="300">
        <f t="shared" ref="F17:N17" si="4">F11</f>
        <v>769</v>
      </c>
      <c r="G17" s="300">
        <f t="shared" si="4"/>
        <v>700</v>
      </c>
      <c r="H17" s="300">
        <f t="shared" si="4"/>
        <v>886</v>
      </c>
      <c r="I17" s="300">
        <f t="shared" si="4"/>
        <v>874</v>
      </c>
      <c r="J17" s="300">
        <f t="shared" si="4"/>
        <v>1039</v>
      </c>
      <c r="K17" s="300">
        <f t="shared" si="4"/>
        <v>1293</v>
      </c>
      <c r="L17" s="300">
        <f t="shared" si="4"/>
        <v>1314</v>
      </c>
      <c r="M17" s="300">
        <f t="shared" si="4"/>
        <v>1418</v>
      </c>
      <c r="N17" s="300">
        <f t="shared" si="4"/>
        <v>1225</v>
      </c>
      <c r="O17" s="300">
        <f>SUM(C17:N17)</f>
        <v>12154</v>
      </c>
      <c r="P17" s="34"/>
      <c r="Q17" s="34"/>
      <c r="R17" s="717"/>
      <c r="S17" s="717"/>
      <c r="T17" s="717"/>
      <c r="U17" s="255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</row>
    <row r="18" spans="1:51">
      <c r="A18" s="159" t="s">
        <v>327</v>
      </c>
      <c r="C18" s="301">
        <v>27</v>
      </c>
      <c r="D18" s="301">
        <v>36</v>
      </c>
      <c r="E18" s="301">
        <v>27</v>
      </c>
      <c r="F18" s="301">
        <v>36</v>
      </c>
      <c r="G18" s="301">
        <v>35</v>
      </c>
      <c r="H18" s="301">
        <v>48</v>
      </c>
      <c r="I18" s="301">
        <v>35</v>
      </c>
      <c r="J18" s="301">
        <v>37</v>
      </c>
      <c r="K18" s="301">
        <v>39</v>
      </c>
      <c r="L18" s="301">
        <v>42</v>
      </c>
      <c r="M18" s="301">
        <v>57</v>
      </c>
      <c r="N18" s="301">
        <v>26</v>
      </c>
      <c r="O18" s="300">
        <f>SUM(C18:N18)</f>
        <v>445</v>
      </c>
      <c r="P18" s="291">
        <f>O18/O17</f>
        <v>3.6613460589106465E-2</v>
      </c>
      <c r="Q18" s="34"/>
      <c r="R18" s="718"/>
      <c r="S18" s="718"/>
      <c r="T18" s="718"/>
      <c r="U18" s="255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</row>
    <row r="19" spans="1:51" ht="13.5" thickBot="1">
      <c r="A19" s="159" t="s">
        <v>747</v>
      </c>
      <c r="C19" s="299">
        <v>38</v>
      </c>
      <c r="D19" s="299">
        <v>20</v>
      </c>
      <c r="E19" s="299">
        <v>22</v>
      </c>
      <c r="F19" s="299">
        <v>14</v>
      </c>
      <c r="G19" s="299">
        <v>29</v>
      </c>
      <c r="H19" s="299">
        <v>34</v>
      </c>
      <c r="I19" s="299">
        <v>41</v>
      </c>
      <c r="J19" s="299">
        <v>40</v>
      </c>
      <c r="K19" s="299">
        <v>39</v>
      </c>
      <c r="L19" s="299">
        <v>70</v>
      </c>
      <c r="M19" s="299">
        <v>64</v>
      </c>
      <c r="N19" s="299">
        <v>61</v>
      </c>
      <c r="O19" s="298">
        <f>SUM(C19:N19)</f>
        <v>472</v>
      </c>
      <c r="P19" s="289">
        <f>O19/O17</f>
        <v>3.8834951456310676E-2</v>
      </c>
      <c r="Q19" s="34"/>
      <c r="R19" s="718"/>
      <c r="S19" s="718"/>
      <c r="T19" s="718"/>
      <c r="U19" s="255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</row>
    <row r="20" spans="1:51">
      <c r="A20" s="159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4"/>
      <c r="Q20" s="34"/>
      <c r="R20" s="255"/>
      <c r="S20" s="255"/>
      <c r="T20" s="255"/>
      <c r="U20" s="255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</row>
    <row r="21" spans="1:51" ht="13.5" thickBot="1">
      <c r="A21" s="159" t="s">
        <v>746</v>
      </c>
      <c r="C21" s="298">
        <f t="shared" ref="C21:E21" si="5">C11-C18-C19</f>
        <v>856</v>
      </c>
      <c r="D21" s="298">
        <f t="shared" si="5"/>
        <v>801</v>
      </c>
      <c r="E21" s="298">
        <f t="shared" si="5"/>
        <v>809</v>
      </c>
      <c r="F21" s="298">
        <f t="shared" ref="F21:M21" si="6">F11-F18-F19</f>
        <v>719</v>
      </c>
      <c r="G21" s="298">
        <f t="shared" si="6"/>
        <v>636</v>
      </c>
      <c r="H21" s="298">
        <f t="shared" si="6"/>
        <v>804</v>
      </c>
      <c r="I21" s="298">
        <f t="shared" si="6"/>
        <v>798</v>
      </c>
      <c r="J21" s="298">
        <f t="shared" si="6"/>
        <v>962</v>
      </c>
      <c r="K21" s="298">
        <f t="shared" si="6"/>
        <v>1215</v>
      </c>
      <c r="L21" s="298">
        <f t="shared" si="6"/>
        <v>1202</v>
      </c>
      <c r="M21" s="298">
        <f t="shared" si="6"/>
        <v>1297</v>
      </c>
      <c r="N21" s="298">
        <f t="shared" ref="N21:O21" si="7">N11-N18-N19</f>
        <v>1138</v>
      </c>
      <c r="O21" s="298">
        <f t="shared" si="7"/>
        <v>11237</v>
      </c>
      <c r="P21" s="289">
        <f>O21/O17</f>
        <v>0.92455158795458281</v>
      </c>
      <c r="Q21" s="34"/>
      <c r="R21" s="717"/>
      <c r="S21" s="717"/>
      <c r="T21" s="717"/>
      <c r="U21" s="255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</row>
    <row r="22" spans="1:51"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255"/>
      <c r="S22" s="255"/>
      <c r="T22" s="255"/>
      <c r="U22" s="255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</row>
    <row r="23" spans="1:51">
      <c r="A23" s="127" t="s">
        <v>484</v>
      </c>
      <c r="R23" s="18"/>
      <c r="S23" s="18"/>
      <c r="T23" s="18"/>
      <c r="U23" s="255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</row>
    <row r="24" spans="1:51">
      <c r="C24" s="712" t="str">
        <f t="shared" ref="C24:E24" si="8">+C7</f>
        <v xml:space="preserve">October </v>
      </c>
      <c r="D24" s="712" t="str">
        <f t="shared" si="8"/>
        <v>November</v>
      </c>
      <c r="E24" s="712" t="str">
        <f t="shared" si="8"/>
        <v>December</v>
      </c>
      <c r="F24" s="712" t="str">
        <f t="shared" ref="F24:N24" si="9">+F7</f>
        <v>January</v>
      </c>
      <c r="G24" s="712" t="str">
        <f t="shared" si="9"/>
        <v>February</v>
      </c>
      <c r="H24" s="712" t="str">
        <f t="shared" si="9"/>
        <v>March</v>
      </c>
      <c r="I24" s="712" t="str">
        <f t="shared" si="9"/>
        <v>April</v>
      </c>
      <c r="J24" s="712" t="str">
        <f t="shared" si="9"/>
        <v>May</v>
      </c>
      <c r="K24" s="712" t="str">
        <f t="shared" si="9"/>
        <v>June</v>
      </c>
      <c r="L24" s="712" t="str">
        <f t="shared" si="9"/>
        <v>July</v>
      </c>
      <c r="M24" s="712" t="str">
        <f t="shared" si="9"/>
        <v>August</v>
      </c>
      <c r="N24" s="712" t="str">
        <f t="shared" si="9"/>
        <v>September</v>
      </c>
      <c r="O24" s="2" t="s">
        <v>2</v>
      </c>
      <c r="P24" s="2" t="s">
        <v>106</v>
      </c>
      <c r="R24" s="93"/>
      <c r="S24" s="93"/>
      <c r="T24" s="93"/>
      <c r="U24" s="18"/>
    </row>
    <row r="25" spans="1:51">
      <c r="F25" s="712"/>
      <c r="G25" s="712"/>
      <c r="H25" s="712"/>
      <c r="I25" s="712"/>
      <c r="J25" s="712"/>
      <c r="R25" s="18"/>
      <c r="S25" s="18"/>
      <c r="T25" s="18"/>
      <c r="U25" s="18"/>
    </row>
    <row r="26" spans="1:51">
      <c r="A26" s="16" t="s">
        <v>108</v>
      </c>
      <c r="C26" s="297">
        <v>54.41</v>
      </c>
      <c r="D26" s="297">
        <v>66.319999999999993</v>
      </c>
      <c r="E26" s="297">
        <v>50.58</v>
      </c>
      <c r="F26" s="297">
        <v>53.47</v>
      </c>
      <c r="G26" s="297">
        <v>54.28</v>
      </c>
      <c r="H26" s="297">
        <v>63.74</v>
      </c>
      <c r="I26" s="297">
        <v>55.08</v>
      </c>
      <c r="J26" s="297">
        <v>50.42</v>
      </c>
      <c r="K26" s="297">
        <v>50.45</v>
      </c>
      <c r="L26" s="297">
        <v>49.85</v>
      </c>
      <c r="M26" s="297">
        <v>57.02</v>
      </c>
      <c r="N26" s="297">
        <v>48.57</v>
      </c>
      <c r="O26" s="286">
        <f>SUM(C26:N26)</f>
        <v>654.19000000000005</v>
      </c>
      <c r="P26" s="296">
        <f>+O26/O32</f>
        <v>8.6246265724825119E-2</v>
      </c>
      <c r="Q26" s="286"/>
      <c r="R26" s="719"/>
      <c r="S26" s="719"/>
      <c r="T26" s="719"/>
      <c r="U26" s="18"/>
    </row>
    <row r="27" spans="1:51">
      <c r="A27" s="16" t="s">
        <v>109</v>
      </c>
      <c r="C27" s="297">
        <v>25.88</v>
      </c>
      <c r="D27" s="297">
        <v>31.1</v>
      </c>
      <c r="E27" s="297">
        <v>27.15</v>
      </c>
      <c r="F27" s="297">
        <v>23.82</v>
      </c>
      <c r="G27" s="297">
        <v>19.170000000000002</v>
      </c>
      <c r="H27" s="297">
        <v>23.94</v>
      </c>
      <c r="I27" s="297">
        <v>20.47</v>
      </c>
      <c r="J27" s="297">
        <v>23.85</v>
      </c>
      <c r="K27" s="297">
        <v>21.76</v>
      </c>
      <c r="L27" s="297">
        <v>22.61</v>
      </c>
      <c r="M27" s="297">
        <v>28.03</v>
      </c>
      <c r="N27" s="297">
        <v>28.76</v>
      </c>
      <c r="O27" s="286">
        <f>SUM(C27:N27)</f>
        <v>296.53999999999996</v>
      </c>
      <c r="P27" s="296">
        <f>+O27/O32</f>
        <v>3.9094861795563422E-2</v>
      </c>
      <c r="Q27" s="286"/>
      <c r="R27" s="719"/>
      <c r="S27" s="719"/>
      <c r="T27" s="719"/>
      <c r="U27" s="18"/>
    </row>
    <row r="28" spans="1:51">
      <c r="A28" s="16" t="s">
        <v>473</v>
      </c>
      <c r="C28" s="297">
        <v>454.09</v>
      </c>
      <c r="D28" s="297">
        <v>414.79</v>
      </c>
      <c r="E28" s="297">
        <v>466.34</v>
      </c>
      <c r="F28" s="297">
        <v>381.36</v>
      </c>
      <c r="G28" s="297">
        <v>326.08</v>
      </c>
      <c r="H28" s="297">
        <v>434.25</v>
      </c>
      <c r="I28" s="297">
        <v>384</v>
      </c>
      <c r="J28" s="297">
        <v>419.1</v>
      </c>
      <c r="K28" s="297">
        <v>468.69</v>
      </c>
      <c r="L28" s="297">
        <v>458.58</v>
      </c>
      <c r="M28" s="297">
        <v>516.5</v>
      </c>
      <c r="N28" s="297">
        <v>445.5</v>
      </c>
      <c r="O28" s="286">
        <f>SUM(C28:N28)</f>
        <v>5169.28</v>
      </c>
      <c r="P28" s="296">
        <f>+O28/O32</f>
        <v>0.68150093472236495</v>
      </c>
      <c r="Q28" s="286"/>
      <c r="R28" s="719"/>
      <c r="S28" s="719"/>
      <c r="T28" s="719"/>
      <c r="U28" s="18"/>
    </row>
    <row r="29" spans="1:51">
      <c r="A29" s="16" t="s">
        <v>472</v>
      </c>
      <c r="C29" s="297">
        <v>39.82</v>
      </c>
      <c r="D29" s="297">
        <v>49.7</v>
      </c>
      <c r="E29" s="297">
        <v>45.73</v>
      </c>
      <c r="F29" s="297">
        <v>36.42</v>
      </c>
      <c r="G29" s="297">
        <v>35.92</v>
      </c>
      <c r="H29" s="297">
        <v>42.75</v>
      </c>
      <c r="I29" s="297">
        <v>39.51</v>
      </c>
      <c r="J29" s="297">
        <v>50.72</v>
      </c>
      <c r="K29" s="297">
        <v>40.08</v>
      </c>
      <c r="L29" s="297">
        <v>39.549999999999997</v>
      </c>
      <c r="M29" s="297">
        <v>51</v>
      </c>
      <c r="N29" s="297">
        <v>38.770000000000003</v>
      </c>
      <c r="O29" s="286">
        <f>SUM(C29:N29)</f>
        <v>509.97</v>
      </c>
      <c r="P29" s="296">
        <f>+O29/O32</f>
        <v>6.7232773554608091E-2</v>
      </c>
      <c r="Q29" s="286"/>
      <c r="R29" s="719"/>
      <c r="S29" s="719"/>
      <c r="T29" s="719"/>
      <c r="U29" s="18"/>
    </row>
    <row r="30" spans="1:51" ht="13.5" thickBot="1">
      <c r="A30" s="16" t="s">
        <v>471</v>
      </c>
      <c r="C30" s="295">
        <v>92.07</v>
      </c>
      <c r="D30" s="295">
        <v>95.25</v>
      </c>
      <c r="E30" s="295">
        <v>58.62</v>
      </c>
      <c r="F30" s="295">
        <v>54.46</v>
      </c>
      <c r="G30" s="295">
        <v>52.13</v>
      </c>
      <c r="H30" s="295">
        <v>66.319999999999993</v>
      </c>
      <c r="I30" s="295">
        <v>62.69</v>
      </c>
      <c r="J30" s="295">
        <v>81.650000000000006</v>
      </c>
      <c r="K30" s="295">
        <v>79.94</v>
      </c>
      <c r="L30" s="295">
        <v>105.09</v>
      </c>
      <c r="M30" s="295">
        <v>110.03</v>
      </c>
      <c r="N30" s="295">
        <v>96.91</v>
      </c>
      <c r="O30" s="290">
        <f>SUM(C30:N30)</f>
        <v>955.15999999999985</v>
      </c>
      <c r="P30" s="294">
        <f>+O30/O32</f>
        <v>0.1259251642026383</v>
      </c>
      <c r="Q30" s="286"/>
      <c r="R30" s="719"/>
      <c r="S30" s="719"/>
      <c r="T30" s="719"/>
      <c r="U30" s="18"/>
    </row>
    <row r="31" spans="1:51">
      <c r="A31" s="16"/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7"/>
      <c r="S31" s="287"/>
      <c r="T31" s="287"/>
      <c r="U31" s="18"/>
    </row>
    <row r="32" spans="1:51" ht="13.5" thickBot="1">
      <c r="A32" s="16" t="s">
        <v>2</v>
      </c>
      <c r="C32" s="290">
        <f t="shared" ref="C32:E32" si="10">SUM(C26:C30)</f>
        <v>666.27</v>
      </c>
      <c r="D32" s="290">
        <f t="shared" si="10"/>
        <v>657.16000000000008</v>
      </c>
      <c r="E32" s="290">
        <f t="shared" si="10"/>
        <v>648.41999999999996</v>
      </c>
      <c r="F32" s="290">
        <f t="shared" ref="F32:M32" si="11">SUM(F26:F30)</f>
        <v>549.53</v>
      </c>
      <c r="G32" s="290">
        <f t="shared" si="11"/>
        <v>487.58</v>
      </c>
      <c r="H32" s="290">
        <f t="shared" si="11"/>
        <v>631</v>
      </c>
      <c r="I32" s="290">
        <f t="shared" si="11"/>
        <v>561.75</v>
      </c>
      <c r="J32" s="290">
        <f t="shared" si="11"/>
        <v>625.74</v>
      </c>
      <c r="K32" s="290">
        <f t="shared" si="11"/>
        <v>660.92000000000007</v>
      </c>
      <c r="L32" s="290">
        <f t="shared" si="11"/>
        <v>675.68</v>
      </c>
      <c r="M32" s="290">
        <f t="shared" si="11"/>
        <v>762.57999999999993</v>
      </c>
      <c r="N32" s="290">
        <f t="shared" ref="N32:P32" si="12">SUM(N26:N30)</f>
        <v>658.51</v>
      </c>
      <c r="O32" s="290">
        <f t="shared" si="12"/>
        <v>7585.14</v>
      </c>
      <c r="P32" s="294">
        <f t="shared" si="12"/>
        <v>0.99999999999999989</v>
      </c>
      <c r="Q32" s="286"/>
      <c r="R32" s="287"/>
      <c r="S32" s="287"/>
      <c r="T32" s="287"/>
      <c r="U32" s="18"/>
    </row>
    <row r="33" spans="1:21">
      <c r="A33" s="16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255"/>
      <c r="S33" s="255"/>
      <c r="T33" s="255"/>
      <c r="U33" s="18"/>
    </row>
    <row r="34" spans="1:21">
      <c r="A34" s="159" t="s">
        <v>473</v>
      </c>
      <c r="C34" s="286">
        <f t="shared" ref="C34:E34" si="13">C28</f>
        <v>454.09</v>
      </c>
      <c r="D34" s="286">
        <f t="shared" si="13"/>
        <v>414.79</v>
      </c>
      <c r="E34" s="286">
        <f t="shared" si="13"/>
        <v>466.34</v>
      </c>
      <c r="F34" s="286">
        <f t="shared" ref="F34:N34" si="14">F28</f>
        <v>381.36</v>
      </c>
      <c r="G34" s="286">
        <f t="shared" si="14"/>
        <v>326.08</v>
      </c>
      <c r="H34" s="286">
        <f t="shared" si="14"/>
        <v>434.25</v>
      </c>
      <c r="I34" s="286">
        <f t="shared" si="14"/>
        <v>384</v>
      </c>
      <c r="J34" s="286">
        <f t="shared" si="14"/>
        <v>419.1</v>
      </c>
      <c r="K34" s="286">
        <f t="shared" si="14"/>
        <v>468.69</v>
      </c>
      <c r="L34" s="286">
        <f t="shared" si="14"/>
        <v>458.58</v>
      </c>
      <c r="M34" s="286">
        <f t="shared" si="14"/>
        <v>516.5</v>
      </c>
      <c r="N34" s="286">
        <f t="shared" si="14"/>
        <v>445.5</v>
      </c>
      <c r="O34" s="286">
        <f>SUM(C34:N34)</f>
        <v>5169.28</v>
      </c>
      <c r="P34" s="34"/>
      <c r="Q34" s="34"/>
      <c r="R34" s="287"/>
      <c r="S34" s="287"/>
      <c r="T34" s="287"/>
      <c r="U34" s="18"/>
    </row>
    <row r="35" spans="1:21">
      <c r="A35" s="159" t="s">
        <v>327</v>
      </c>
      <c r="C35" s="293">
        <v>38</v>
      </c>
      <c r="D35" s="293">
        <v>41.75</v>
      </c>
      <c r="E35" s="293">
        <v>34.43</v>
      </c>
      <c r="F35" s="293">
        <v>46.5</v>
      </c>
      <c r="G35" s="293">
        <v>36</v>
      </c>
      <c r="H35" s="293">
        <v>49.5</v>
      </c>
      <c r="I35" s="293">
        <v>37.5</v>
      </c>
      <c r="J35" s="293">
        <v>37.5</v>
      </c>
      <c r="K35" s="293">
        <v>40.25</v>
      </c>
      <c r="L35" s="293">
        <v>40</v>
      </c>
      <c r="M35" s="293">
        <v>49</v>
      </c>
      <c r="N35" s="293">
        <v>30.5</v>
      </c>
      <c r="O35" s="286">
        <f>SUM(C35:N35)</f>
        <v>480.93</v>
      </c>
      <c r="P35" s="291">
        <f>O35/O34</f>
        <v>9.3036167512690365E-2</v>
      </c>
      <c r="Q35" s="34"/>
      <c r="R35" s="720"/>
      <c r="S35" s="720"/>
      <c r="T35" s="720"/>
      <c r="U35" s="18"/>
    </row>
    <row r="36" spans="1:21" ht="13.5" thickBot="1">
      <c r="A36" s="159" t="s">
        <v>747</v>
      </c>
      <c r="C36" s="292">
        <v>24</v>
      </c>
      <c r="D36" s="292">
        <v>15.5</v>
      </c>
      <c r="E36" s="292">
        <v>21</v>
      </c>
      <c r="F36" s="292">
        <v>8</v>
      </c>
      <c r="G36" s="292">
        <v>16.5</v>
      </c>
      <c r="H36" s="292">
        <v>18.5</v>
      </c>
      <c r="I36" s="292">
        <v>20.170000000000002</v>
      </c>
      <c r="J36" s="292">
        <v>18.52</v>
      </c>
      <c r="K36" s="292">
        <v>16</v>
      </c>
      <c r="L36" s="292">
        <v>22.91</v>
      </c>
      <c r="M36" s="292">
        <v>17</v>
      </c>
      <c r="N36" s="292">
        <v>19.75</v>
      </c>
      <c r="O36" s="290">
        <f>SUM(C36:N36)</f>
        <v>217.85</v>
      </c>
      <c r="P36" s="289">
        <f>O36/O34</f>
        <v>4.2143199826668316E-2</v>
      </c>
      <c r="Q36" s="34"/>
      <c r="R36" s="720"/>
      <c r="S36" s="720"/>
      <c r="T36" s="720"/>
      <c r="U36" s="18"/>
    </row>
    <row r="37" spans="1:21">
      <c r="A37" s="159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291"/>
      <c r="Q37" s="34"/>
      <c r="R37" s="255"/>
      <c r="S37" s="255"/>
      <c r="T37" s="255"/>
      <c r="U37" s="18"/>
    </row>
    <row r="38" spans="1:21" ht="13.5" thickBot="1">
      <c r="A38" s="159" t="s">
        <v>746</v>
      </c>
      <c r="C38" s="290">
        <f t="shared" ref="C38:E38" si="15">C28-C35-C36</f>
        <v>392.09</v>
      </c>
      <c r="D38" s="290">
        <f t="shared" si="15"/>
        <v>357.54</v>
      </c>
      <c r="E38" s="290">
        <f t="shared" si="15"/>
        <v>410.90999999999997</v>
      </c>
      <c r="F38" s="290">
        <f t="shared" ref="F38:M38" si="16">F28-F35-F36</f>
        <v>326.86</v>
      </c>
      <c r="G38" s="290">
        <f t="shared" si="16"/>
        <v>273.58</v>
      </c>
      <c r="H38" s="290">
        <f t="shared" si="16"/>
        <v>366.25</v>
      </c>
      <c r="I38" s="290">
        <f t="shared" si="16"/>
        <v>326.33</v>
      </c>
      <c r="J38" s="290">
        <f t="shared" si="16"/>
        <v>363.08000000000004</v>
      </c>
      <c r="K38" s="290">
        <f t="shared" si="16"/>
        <v>412.44</v>
      </c>
      <c r="L38" s="290">
        <f t="shared" si="16"/>
        <v>395.66999999999996</v>
      </c>
      <c r="M38" s="290">
        <f t="shared" si="16"/>
        <v>450.5</v>
      </c>
      <c r="N38" s="290">
        <f t="shared" ref="N38:O38" si="17">N28-N35-N36</f>
        <v>395.25</v>
      </c>
      <c r="O38" s="290">
        <f t="shared" si="17"/>
        <v>4470.4999999999991</v>
      </c>
      <c r="P38" s="289">
        <f>O38/O34</f>
        <v>0.86482063266064124</v>
      </c>
      <c r="R38" s="287"/>
      <c r="S38" s="287"/>
      <c r="T38" s="287"/>
      <c r="U38" s="18"/>
    </row>
    <row r="39" spans="1:21">
      <c r="R39" s="18"/>
      <c r="S39" s="18"/>
      <c r="T39" s="18"/>
      <c r="U39" s="18"/>
    </row>
    <row r="40" spans="1:21">
      <c r="A40" s="127" t="s">
        <v>482</v>
      </c>
      <c r="R40" s="18"/>
      <c r="S40" s="18"/>
      <c r="T40" s="18"/>
      <c r="U40" s="18"/>
    </row>
    <row r="41" spans="1:21">
      <c r="C41" s="712" t="str">
        <f t="shared" ref="C41:E41" si="18">+C24</f>
        <v xml:space="preserve">October </v>
      </c>
      <c r="D41" s="712" t="str">
        <f t="shared" si="18"/>
        <v>November</v>
      </c>
      <c r="E41" s="712" t="str">
        <f t="shared" si="18"/>
        <v>December</v>
      </c>
      <c r="F41" s="712" t="str">
        <f t="shared" ref="F41:N41" si="19">+F24</f>
        <v>January</v>
      </c>
      <c r="G41" s="712" t="str">
        <f t="shared" si="19"/>
        <v>February</v>
      </c>
      <c r="H41" s="712" t="str">
        <f t="shared" si="19"/>
        <v>March</v>
      </c>
      <c r="I41" s="712" t="str">
        <f t="shared" si="19"/>
        <v>April</v>
      </c>
      <c r="J41" s="712" t="str">
        <f t="shared" si="19"/>
        <v>May</v>
      </c>
      <c r="K41" s="712" t="str">
        <f t="shared" si="19"/>
        <v>June</v>
      </c>
      <c r="L41" s="712" t="str">
        <f t="shared" si="19"/>
        <v>July</v>
      </c>
      <c r="M41" s="712" t="str">
        <f t="shared" si="19"/>
        <v>August</v>
      </c>
      <c r="N41" s="712" t="str">
        <f t="shared" si="19"/>
        <v>September</v>
      </c>
      <c r="O41" s="2" t="s">
        <v>2</v>
      </c>
      <c r="P41" s="2" t="s">
        <v>106</v>
      </c>
      <c r="R41" s="93"/>
      <c r="S41" s="93"/>
      <c r="T41" s="93"/>
      <c r="U41" s="18"/>
    </row>
    <row r="42" spans="1:21">
      <c r="F42" s="712"/>
      <c r="G42" s="712"/>
      <c r="H42" s="712"/>
      <c r="I42" s="712"/>
      <c r="J42" s="712"/>
      <c r="R42" s="18"/>
      <c r="S42" s="18"/>
      <c r="T42" s="18"/>
      <c r="U42" s="18"/>
    </row>
    <row r="43" spans="1:21">
      <c r="A43" s="16" t="s">
        <v>108</v>
      </c>
      <c r="C43" s="303">
        <v>400</v>
      </c>
      <c r="D43" s="303">
        <v>600</v>
      </c>
      <c r="E43" s="303">
        <v>504</v>
      </c>
      <c r="F43" s="303">
        <v>508</v>
      </c>
      <c r="G43" s="303">
        <v>565</v>
      </c>
      <c r="H43" s="303">
        <v>726</v>
      </c>
      <c r="I43" s="303">
        <v>571</v>
      </c>
      <c r="J43" s="303">
        <v>536</v>
      </c>
      <c r="K43" s="303">
        <v>544</v>
      </c>
      <c r="L43" s="303">
        <v>544</v>
      </c>
      <c r="M43" s="303">
        <v>611</v>
      </c>
      <c r="N43" s="303">
        <v>522</v>
      </c>
      <c r="O43" s="300">
        <f>SUM(C43:N43)</f>
        <v>6631</v>
      </c>
      <c r="P43" s="296">
        <f>+O43/O49</f>
        <v>8.0689713917180786E-2</v>
      </c>
      <c r="Q43" s="286"/>
      <c r="R43" s="716"/>
      <c r="S43" s="716"/>
      <c r="T43" s="716"/>
      <c r="U43" s="18"/>
    </row>
    <row r="44" spans="1:21">
      <c r="A44" s="16" t="s">
        <v>109</v>
      </c>
      <c r="C44" s="303">
        <v>284</v>
      </c>
      <c r="D44" s="303">
        <v>305</v>
      </c>
      <c r="E44" s="303">
        <v>303</v>
      </c>
      <c r="F44" s="303">
        <v>281</v>
      </c>
      <c r="G44" s="303">
        <v>250</v>
      </c>
      <c r="H44" s="303">
        <v>319</v>
      </c>
      <c r="I44" s="303">
        <v>278</v>
      </c>
      <c r="J44" s="303">
        <v>310</v>
      </c>
      <c r="K44" s="303">
        <v>287</v>
      </c>
      <c r="L44" s="303">
        <v>304</v>
      </c>
      <c r="M44" s="303">
        <v>326</v>
      </c>
      <c r="N44" s="303">
        <v>393</v>
      </c>
      <c r="O44" s="300">
        <f>SUM(C44:N44)</f>
        <v>3640</v>
      </c>
      <c r="P44" s="296">
        <f>+O44/O49</f>
        <v>4.4293554314362549E-2</v>
      </c>
      <c r="Q44" s="286"/>
      <c r="R44" s="716"/>
      <c r="S44" s="716"/>
      <c r="T44" s="716"/>
      <c r="U44" s="18"/>
    </row>
    <row r="45" spans="1:21">
      <c r="A45" s="16" t="s">
        <v>473</v>
      </c>
      <c r="C45" s="303">
        <v>4159</v>
      </c>
      <c r="D45" s="303">
        <v>3839</v>
      </c>
      <c r="E45" s="303">
        <v>4141</v>
      </c>
      <c r="F45" s="303">
        <v>3455</v>
      </c>
      <c r="G45" s="303">
        <v>3080</v>
      </c>
      <c r="H45" s="303">
        <v>4439</v>
      </c>
      <c r="I45" s="637">
        <v>3874</v>
      </c>
      <c r="J45" s="303">
        <v>4217</v>
      </c>
      <c r="K45" s="303">
        <v>4553</v>
      </c>
      <c r="L45" s="303">
        <v>4432</v>
      </c>
      <c r="M45" s="303">
        <v>4979</v>
      </c>
      <c r="N45" s="303">
        <v>4509</v>
      </c>
      <c r="O45" s="300">
        <f>SUM(C45:N45)</f>
        <v>49677</v>
      </c>
      <c r="P45" s="296">
        <f>+O45/O49</f>
        <v>0.60449749936115071</v>
      </c>
      <c r="Q45" s="286"/>
      <c r="R45" s="716"/>
      <c r="S45" s="716"/>
      <c r="T45" s="716"/>
      <c r="U45" s="18"/>
    </row>
    <row r="46" spans="1:21">
      <c r="A46" s="16" t="s">
        <v>472</v>
      </c>
      <c r="C46" s="303">
        <v>496</v>
      </c>
      <c r="D46" s="303">
        <v>707</v>
      </c>
      <c r="E46" s="303">
        <v>489</v>
      </c>
      <c r="F46" s="303">
        <v>454</v>
      </c>
      <c r="G46" s="303">
        <v>467</v>
      </c>
      <c r="H46" s="303">
        <v>532</v>
      </c>
      <c r="I46" s="303">
        <v>491</v>
      </c>
      <c r="J46" s="303">
        <v>624</v>
      </c>
      <c r="K46" s="303">
        <v>469</v>
      </c>
      <c r="L46" s="303">
        <v>496</v>
      </c>
      <c r="M46" s="303">
        <v>625</v>
      </c>
      <c r="N46" s="303">
        <v>519</v>
      </c>
      <c r="O46" s="300">
        <f>SUM(C46:N46)</f>
        <v>6369</v>
      </c>
      <c r="P46" s="296">
        <f>+O46/O49</f>
        <v>7.7501551491256884E-2</v>
      </c>
      <c r="Q46" s="286"/>
      <c r="R46" s="716"/>
      <c r="S46" s="716"/>
      <c r="T46" s="716"/>
      <c r="U46" s="18"/>
    </row>
    <row r="47" spans="1:21" ht="13.5" thickBot="1">
      <c r="A47" s="16" t="s">
        <v>471</v>
      </c>
      <c r="C47" s="302">
        <v>1373</v>
      </c>
      <c r="D47" s="302">
        <v>1443</v>
      </c>
      <c r="E47" s="302">
        <v>986</v>
      </c>
      <c r="F47" s="302">
        <v>876</v>
      </c>
      <c r="G47" s="302">
        <v>904</v>
      </c>
      <c r="H47" s="302">
        <v>1116</v>
      </c>
      <c r="I47" s="302">
        <v>1068</v>
      </c>
      <c r="J47" s="302">
        <v>1247</v>
      </c>
      <c r="K47" s="302">
        <v>1383</v>
      </c>
      <c r="L47" s="302">
        <v>1825</v>
      </c>
      <c r="M47" s="302">
        <v>1881</v>
      </c>
      <c r="N47" s="302">
        <v>1760</v>
      </c>
      <c r="O47" s="298">
        <f>SUM(C47:N47)</f>
        <v>15862</v>
      </c>
      <c r="P47" s="294">
        <f>+O47/O49</f>
        <v>0.19301768091604912</v>
      </c>
      <c r="Q47" s="286"/>
      <c r="R47" s="716"/>
      <c r="S47" s="716"/>
      <c r="T47" s="716"/>
      <c r="U47" s="18"/>
    </row>
    <row r="48" spans="1:21">
      <c r="A48" s="16"/>
      <c r="C48" s="286"/>
      <c r="D48" s="286"/>
      <c r="E48" s="286"/>
      <c r="F48" s="286"/>
      <c r="G48" s="286"/>
      <c r="H48" s="286"/>
      <c r="I48" s="286"/>
      <c r="J48" s="286"/>
      <c r="K48" s="286"/>
      <c r="L48" s="286"/>
      <c r="M48" s="286"/>
      <c r="N48" s="286"/>
      <c r="O48" s="286"/>
      <c r="P48" s="286"/>
      <c r="Q48" s="286"/>
      <c r="R48" s="287"/>
      <c r="S48" s="287"/>
      <c r="T48" s="287"/>
      <c r="U48" s="18"/>
    </row>
    <row r="49" spans="1:21" ht="13.5" thickBot="1">
      <c r="A49" s="16" t="s">
        <v>2</v>
      </c>
      <c r="C49" s="290">
        <f t="shared" ref="C49:E49" si="20">SUM(C43:C47)</f>
        <v>6712</v>
      </c>
      <c r="D49" s="290">
        <f t="shared" si="20"/>
        <v>6894</v>
      </c>
      <c r="E49" s="290">
        <f t="shared" si="20"/>
        <v>6423</v>
      </c>
      <c r="F49" s="290">
        <f t="shared" ref="F49:M49" si="21">SUM(F43:F47)</f>
        <v>5574</v>
      </c>
      <c r="G49" s="290">
        <f t="shared" si="21"/>
        <v>5266</v>
      </c>
      <c r="H49" s="290">
        <f t="shared" si="21"/>
        <v>7132</v>
      </c>
      <c r="I49" s="290">
        <f t="shared" si="21"/>
        <v>6282</v>
      </c>
      <c r="J49" s="290">
        <f t="shared" si="21"/>
        <v>6934</v>
      </c>
      <c r="K49" s="290">
        <f t="shared" si="21"/>
        <v>7236</v>
      </c>
      <c r="L49" s="290">
        <f t="shared" si="21"/>
        <v>7601</v>
      </c>
      <c r="M49" s="290">
        <f t="shared" si="21"/>
        <v>8422</v>
      </c>
      <c r="N49" s="290">
        <f t="shared" ref="N49:P49" si="22">SUM(N43:N47)</f>
        <v>7703</v>
      </c>
      <c r="O49" s="290">
        <f t="shared" si="22"/>
        <v>82179</v>
      </c>
      <c r="P49" s="294">
        <f t="shared" si="22"/>
        <v>1.0000000000000002</v>
      </c>
      <c r="Q49" s="286"/>
      <c r="R49" s="287"/>
      <c r="S49" s="287"/>
      <c r="T49" s="287"/>
      <c r="U49" s="18"/>
    </row>
    <row r="50" spans="1:21">
      <c r="A50" s="16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255"/>
      <c r="S50" s="255"/>
      <c r="T50" s="255"/>
      <c r="U50" s="18"/>
    </row>
    <row r="51" spans="1:21">
      <c r="A51" s="159" t="s">
        <v>473</v>
      </c>
      <c r="C51" s="300">
        <f t="shared" ref="C51:E51" si="23">C45</f>
        <v>4159</v>
      </c>
      <c r="D51" s="300">
        <f t="shared" si="23"/>
        <v>3839</v>
      </c>
      <c r="E51" s="300">
        <f t="shared" si="23"/>
        <v>4141</v>
      </c>
      <c r="F51" s="300">
        <f t="shared" ref="F51:N51" si="24">F45</f>
        <v>3455</v>
      </c>
      <c r="G51" s="300">
        <f t="shared" si="24"/>
        <v>3080</v>
      </c>
      <c r="H51" s="300">
        <f t="shared" si="24"/>
        <v>4439</v>
      </c>
      <c r="I51" s="300">
        <f t="shared" si="24"/>
        <v>3874</v>
      </c>
      <c r="J51" s="300">
        <f t="shared" si="24"/>
        <v>4217</v>
      </c>
      <c r="K51" s="300">
        <f t="shared" si="24"/>
        <v>4553</v>
      </c>
      <c r="L51" s="300">
        <f t="shared" si="24"/>
        <v>4432</v>
      </c>
      <c r="M51" s="300">
        <f t="shared" si="24"/>
        <v>4979</v>
      </c>
      <c r="N51" s="300">
        <f t="shared" si="24"/>
        <v>4509</v>
      </c>
      <c r="O51" s="300">
        <f>SUM(C51:N51)</f>
        <v>49677</v>
      </c>
      <c r="P51" s="34"/>
      <c r="Q51" s="34"/>
      <c r="R51" s="717"/>
      <c r="S51" s="717"/>
      <c r="T51" s="717"/>
      <c r="U51" s="18"/>
    </row>
    <row r="52" spans="1:21">
      <c r="A52" s="159" t="s">
        <v>327</v>
      </c>
      <c r="C52" s="301">
        <v>508</v>
      </c>
      <c r="D52" s="301">
        <v>542</v>
      </c>
      <c r="E52" s="301">
        <v>438</v>
      </c>
      <c r="F52" s="301">
        <v>586</v>
      </c>
      <c r="G52" s="301">
        <v>510</v>
      </c>
      <c r="H52" s="301">
        <v>688</v>
      </c>
      <c r="I52" s="301">
        <v>543</v>
      </c>
      <c r="J52" s="301">
        <v>529</v>
      </c>
      <c r="K52" s="301">
        <v>476</v>
      </c>
      <c r="L52" s="301">
        <v>477</v>
      </c>
      <c r="M52" s="301">
        <v>648</v>
      </c>
      <c r="N52" s="301">
        <v>411</v>
      </c>
      <c r="O52" s="300">
        <f>SUM(C52:N52)</f>
        <v>6356</v>
      </c>
      <c r="P52" s="291">
        <f>O52/O51</f>
        <v>0.12794653461360389</v>
      </c>
      <c r="Q52" s="34"/>
      <c r="R52" s="718"/>
      <c r="S52" s="718"/>
      <c r="T52" s="718"/>
      <c r="U52" s="18"/>
    </row>
    <row r="53" spans="1:21" ht="13.5" thickBot="1">
      <c r="A53" s="159" t="s">
        <v>747</v>
      </c>
      <c r="C53" s="299">
        <v>232</v>
      </c>
      <c r="D53" s="299">
        <v>161</v>
      </c>
      <c r="E53" s="299">
        <v>213</v>
      </c>
      <c r="F53" s="299">
        <v>108</v>
      </c>
      <c r="G53" s="299">
        <v>169</v>
      </c>
      <c r="H53" s="299">
        <v>210</v>
      </c>
      <c r="I53" s="299">
        <v>220</v>
      </c>
      <c r="J53" s="299">
        <v>193</v>
      </c>
      <c r="K53" s="299">
        <v>190</v>
      </c>
      <c r="L53" s="299">
        <v>247</v>
      </c>
      <c r="M53" s="299">
        <v>189</v>
      </c>
      <c r="N53" s="299">
        <v>295</v>
      </c>
      <c r="O53" s="298">
        <f>SUM(C53:N53)</f>
        <v>2427</v>
      </c>
      <c r="P53" s="289">
        <f>O53/O51</f>
        <v>4.8855607222658373E-2</v>
      </c>
      <c r="Q53" s="34"/>
      <c r="R53" s="718"/>
      <c r="S53" s="718"/>
      <c r="T53" s="718"/>
      <c r="U53" s="18"/>
    </row>
    <row r="54" spans="1:21">
      <c r="A54" s="159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291"/>
      <c r="Q54" s="34"/>
      <c r="R54" s="255"/>
      <c r="S54" s="255"/>
      <c r="T54" s="255"/>
      <c r="U54" s="18"/>
    </row>
    <row r="55" spans="1:21" ht="13.5" thickBot="1">
      <c r="A55" s="159" t="s">
        <v>746</v>
      </c>
      <c r="C55" s="298">
        <f t="shared" ref="C55:E55" si="25">C45-C52-C53</f>
        <v>3419</v>
      </c>
      <c r="D55" s="298">
        <f t="shared" si="25"/>
        <v>3136</v>
      </c>
      <c r="E55" s="298">
        <f t="shared" si="25"/>
        <v>3490</v>
      </c>
      <c r="F55" s="298">
        <f t="shared" ref="F55:M55" si="26">F45-F52-F53</f>
        <v>2761</v>
      </c>
      <c r="G55" s="298">
        <f t="shared" si="26"/>
        <v>2401</v>
      </c>
      <c r="H55" s="298">
        <f t="shared" si="26"/>
        <v>3541</v>
      </c>
      <c r="I55" s="298">
        <f t="shared" si="26"/>
        <v>3111</v>
      </c>
      <c r="J55" s="298">
        <f t="shared" si="26"/>
        <v>3495</v>
      </c>
      <c r="K55" s="298">
        <f t="shared" si="26"/>
        <v>3887</v>
      </c>
      <c r="L55" s="298">
        <f t="shared" si="26"/>
        <v>3708</v>
      </c>
      <c r="M55" s="298">
        <f t="shared" si="26"/>
        <v>4142</v>
      </c>
      <c r="N55" s="298">
        <f t="shared" ref="N55:O55" si="27">N45-N52-N53</f>
        <v>3803</v>
      </c>
      <c r="O55" s="298">
        <f t="shared" si="27"/>
        <v>40894</v>
      </c>
      <c r="P55" s="289">
        <f>O55/O51</f>
        <v>0.82319785816373769</v>
      </c>
      <c r="Q55" s="34"/>
      <c r="R55" s="717"/>
      <c r="S55" s="717"/>
      <c r="T55" s="717"/>
      <c r="U55" s="18"/>
    </row>
    <row r="56" spans="1:21">
      <c r="F56" s="18"/>
      <c r="G56" s="18"/>
      <c r="H56" s="18"/>
      <c r="R56" s="18"/>
      <c r="S56" s="18"/>
      <c r="T56" s="18"/>
      <c r="U56" s="18"/>
    </row>
    <row r="57" spans="1:21">
      <c r="R57" s="18"/>
      <c r="S57" s="18"/>
      <c r="T57" s="18"/>
      <c r="U57" s="18"/>
    </row>
    <row r="58" spans="1:21">
      <c r="A58" s="127" t="s">
        <v>483</v>
      </c>
      <c r="R58" s="18"/>
      <c r="S58" s="18"/>
      <c r="T58" s="18"/>
      <c r="U58" s="18"/>
    </row>
    <row r="59" spans="1:21">
      <c r="C59" s="712" t="str">
        <f t="shared" ref="C59:E59" si="28">+C41</f>
        <v xml:space="preserve">October </v>
      </c>
      <c r="D59" s="712" t="str">
        <f t="shared" si="28"/>
        <v>November</v>
      </c>
      <c r="E59" s="712" t="str">
        <f t="shared" si="28"/>
        <v>December</v>
      </c>
      <c r="F59" s="712" t="str">
        <f t="shared" ref="F59:N59" si="29">+F41</f>
        <v>January</v>
      </c>
      <c r="G59" s="712" t="str">
        <f t="shared" si="29"/>
        <v>February</v>
      </c>
      <c r="H59" s="712" t="str">
        <f t="shared" si="29"/>
        <v>March</v>
      </c>
      <c r="I59" s="712" t="str">
        <f t="shared" si="29"/>
        <v>April</v>
      </c>
      <c r="J59" s="712" t="str">
        <f t="shared" si="29"/>
        <v>May</v>
      </c>
      <c r="K59" s="712" t="str">
        <f t="shared" si="29"/>
        <v>June</v>
      </c>
      <c r="L59" s="712" t="str">
        <f t="shared" si="29"/>
        <v>July</v>
      </c>
      <c r="M59" s="712" t="str">
        <f t="shared" si="29"/>
        <v>August</v>
      </c>
      <c r="N59" s="712" t="str">
        <f t="shared" si="29"/>
        <v>September</v>
      </c>
      <c r="O59" s="2" t="s">
        <v>2</v>
      </c>
      <c r="P59" s="2" t="s">
        <v>106</v>
      </c>
      <c r="R59" s="93"/>
      <c r="S59" s="93"/>
      <c r="T59" s="93"/>
      <c r="U59" s="18"/>
    </row>
    <row r="60" spans="1:21">
      <c r="F60" s="712"/>
      <c r="G60" s="712"/>
      <c r="H60" s="712"/>
      <c r="I60" s="712"/>
      <c r="J60" s="712"/>
      <c r="R60" s="18"/>
      <c r="S60" s="18"/>
      <c r="T60" s="18"/>
      <c r="U60" s="18"/>
    </row>
    <row r="61" spans="1:21">
      <c r="A61" s="16" t="s">
        <v>108</v>
      </c>
      <c r="C61" s="297">
        <v>80.14</v>
      </c>
      <c r="D61" s="297">
        <v>91.06</v>
      </c>
      <c r="E61" s="297">
        <v>61.76</v>
      </c>
      <c r="F61" s="297">
        <v>81.94</v>
      </c>
      <c r="G61" s="297">
        <v>81.459999999999994</v>
      </c>
      <c r="H61" s="297">
        <v>92.65</v>
      </c>
      <c r="I61" s="297">
        <v>79.069999999999993</v>
      </c>
      <c r="J61" s="297">
        <v>62.42</v>
      </c>
      <c r="K61" s="297">
        <v>66.23</v>
      </c>
      <c r="L61" s="297">
        <v>63.54</v>
      </c>
      <c r="M61" s="297">
        <v>75.12</v>
      </c>
      <c r="N61" s="297">
        <v>66.47</v>
      </c>
      <c r="O61" s="286">
        <f>SUM(C61:N61)</f>
        <v>901.8599999999999</v>
      </c>
      <c r="P61" s="296">
        <f>+O61/O67</f>
        <v>8.1672240620950284E-2</v>
      </c>
      <c r="Q61" s="286"/>
      <c r="R61" s="719"/>
      <c r="S61" s="719"/>
      <c r="T61" s="719"/>
      <c r="U61" s="18"/>
    </row>
    <row r="62" spans="1:21">
      <c r="A62" s="16" t="s">
        <v>109</v>
      </c>
      <c r="C62" s="297">
        <v>38.44</v>
      </c>
      <c r="D62" s="297">
        <v>44.2</v>
      </c>
      <c r="E62" s="297">
        <v>32.08</v>
      </c>
      <c r="F62" s="297">
        <v>36.14</v>
      </c>
      <c r="G62" s="297">
        <v>29.94</v>
      </c>
      <c r="H62" s="297">
        <v>35.21</v>
      </c>
      <c r="I62" s="297">
        <v>29.28</v>
      </c>
      <c r="J62" s="297">
        <v>34.369999999999997</v>
      </c>
      <c r="K62" s="297">
        <v>30.44</v>
      </c>
      <c r="L62" s="297">
        <v>30.38</v>
      </c>
      <c r="M62" s="297">
        <v>39.229999999999997</v>
      </c>
      <c r="N62" s="297">
        <v>36.19</v>
      </c>
      <c r="O62" s="286">
        <f>SUM(C62:N62)</f>
        <v>415.90000000000003</v>
      </c>
      <c r="P62" s="296">
        <f>+O62/O67</f>
        <v>3.7663811316893121E-2</v>
      </c>
      <c r="Q62" s="286"/>
      <c r="R62" s="719"/>
      <c r="S62" s="719"/>
      <c r="T62" s="719"/>
      <c r="U62" s="18"/>
    </row>
    <row r="63" spans="1:21">
      <c r="A63" s="16" t="s">
        <v>473</v>
      </c>
      <c r="C63" s="297">
        <v>604.67999999999995</v>
      </c>
      <c r="D63" s="297">
        <v>526.35</v>
      </c>
      <c r="E63" s="297">
        <v>592.84</v>
      </c>
      <c r="F63" s="297">
        <v>586.97</v>
      </c>
      <c r="G63" s="297">
        <v>537.16</v>
      </c>
      <c r="H63" s="297">
        <v>588.77</v>
      </c>
      <c r="I63" s="297">
        <v>510.25</v>
      </c>
      <c r="J63" s="297">
        <v>610.67999999999995</v>
      </c>
      <c r="K63" s="297">
        <v>676.38</v>
      </c>
      <c r="L63" s="297">
        <v>643.70000000000005</v>
      </c>
      <c r="M63" s="297">
        <v>740.82</v>
      </c>
      <c r="N63" s="297">
        <v>628.5</v>
      </c>
      <c r="O63" s="286">
        <f>SUM(C63:N63)</f>
        <v>7247.0999999999995</v>
      </c>
      <c r="P63" s="296">
        <f>+O63/O67</f>
        <v>0.6562957609873914</v>
      </c>
      <c r="Q63" s="286"/>
      <c r="R63" s="719"/>
      <c r="S63" s="719"/>
      <c r="T63" s="719"/>
      <c r="U63" s="18"/>
    </row>
    <row r="64" spans="1:21">
      <c r="A64" s="16" t="s">
        <v>472</v>
      </c>
      <c r="C64" s="297">
        <v>79.64</v>
      </c>
      <c r="D64" s="297">
        <v>85.33</v>
      </c>
      <c r="E64" s="297">
        <v>70.14</v>
      </c>
      <c r="F64" s="297">
        <v>72.84</v>
      </c>
      <c r="G64" s="297">
        <v>71.84</v>
      </c>
      <c r="H64" s="297">
        <v>84.5</v>
      </c>
      <c r="I64" s="297">
        <v>70.69</v>
      </c>
      <c r="J64" s="297">
        <v>94.69</v>
      </c>
      <c r="K64" s="297">
        <v>68.66</v>
      </c>
      <c r="L64" s="297">
        <v>64.75</v>
      </c>
      <c r="M64" s="297">
        <v>88.91</v>
      </c>
      <c r="N64" s="297">
        <v>63.67</v>
      </c>
      <c r="O64" s="286">
        <f>SUM(C64:N64)</f>
        <v>915.66</v>
      </c>
      <c r="P64" s="296">
        <f>+O64/O67</f>
        <v>8.2921965545627196E-2</v>
      </c>
      <c r="Q64" s="286"/>
      <c r="R64" s="719"/>
      <c r="S64" s="719"/>
      <c r="T64" s="719"/>
      <c r="U64" s="18"/>
    </row>
    <row r="65" spans="1:21" ht="13.5" thickBot="1">
      <c r="A65" s="16" t="s">
        <v>471</v>
      </c>
      <c r="C65" s="295">
        <v>184.14</v>
      </c>
      <c r="D65" s="295">
        <v>140.55000000000001</v>
      </c>
      <c r="E65" s="295">
        <v>83.08</v>
      </c>
      <c r="F65" s="295">
        <v>108.92</v>
      </c>
      <c r="G65" s="295">
        <v>104.26</v>
      </c>
      <c r="H65" s="295">
        <v>109.64</v>
      </c>
      <c r="I65" s="295">
        <v>106.96</v>
      </c>
      <c r="J65" s="295">
        <v>150.80000000000001</v>
      </c>
      <c r="K65" s="295">
        <v>121.13</v>
      </c>
      <c r="L65" s="295">
        <v>151.41999999999999</v>
      </c>
      <c r="M65" s="295">
        <v>164.57</v>
      </c>
      <c r="N65" s="295">
        <v>136.44</v>
      </c>
      <c r="O65" s="290">
        <f>SUM(C65:N65)</f>
        <v>1561.91</v>
      </c>
      <c r="P65" s="294">
        <f>+O65/O67</f>
        <v>0.14144622152913808</v>
      </c>
      <c r="Q65" s="286"/>
      <c r="R65" s="719"/>
      <c r="S65" s="719"/>
      <c r="T65" s="719"/>
      <c r="U65" s="18"/>
    </row>
    <row r="66" spans="1:21">
      <c r="A66" s="16"/>
      <c r="C66" s="286"/>
      <c r="D66" s="286"/>
      <c r="E66" s="286"/>
      <c r="F66" s="286"/>
      <c r="G66" s="286"/>
      <c r="H66" s="286"/>
      <c r="I66" s="286"/>
      <c r="J66" s="286"/>
      <c r="K66" s="286"/>
      <c r="L66" s="286"/>
      <c r="M66" s="286"/>
      <c r="N66" s="286"/>
      <c r="O66" s="286"/>
      <c r="P66" s="286"/>
      <c r="Q66" s="286"/>
      <c r="R66" s="287"/>
      <c r="S66" s="287"/>
      <c r="T66" s="287"/>
      <c r="U66" s="18"/>
    </row>
    <row r="67" spans="1:21" ht="13.5" thickBot="1">
      <c r="A67" s="16" t="s">
        <v>2</v>
      </c>
      <c r="C67" s="290">
        <f t="shared" ref="C67:E67" si="30">SUM(C61:C65)</f>
        <v>987.04</v>
      </c>
      <c r="D67" s="290">
        <f t="shared" si="30"/>
        <v>887.49</v>
      </c>
      <c r="E67" s="290">
        <f t="shared" si="30"/>
        <v>839.90000000000009</v>
      </c>
      <c r="F67" s="290">
        <f t="shared" ref="F67:M67" si="31">SUM(F61:F65)</f>
        <v>886.81000000000006</v>
      </c>
      <c r="G67" s="290">
        <f t="shared" si="31"/>
        <v>824.66</v>
      </c>
      <c r="H67" s="290">
        <f t="shared" si="31"/>
        <v>910.77</v>
      </c>
      <c r="I67" s="290">
        <f t="shared" si="31"/>
        <v>796.25</v>
      </c>
      <c r="J67" s="290">
        <f t="shared" si="31"/>
        <v>952.95999999999981</v>
      </c>
      <c r="K67" s="290">
        <f t="shared" si="31"/>
        <v>962.83999999999992</v>
      </c>
      <c r="L67" s="290">
        <f t="shared" si="31"/>
        <v>953.79</v>
      </c>
      <c r="M67" s="290">
        <f t="shared" si="31"/>
        <v>1108.6500000000001</v>
      </c>
      <c r="N67" s="290">
        <f t="shared" ref="N67:P67" si="32">SUM(N61:N65)</f>
        <v>931.27</v>
      </c>
      <c r="O67" s="290">
        <f t="shared" si="32"/>
        <v>11042.429999999998</v>
      </c>
      <c r="P67" s="294">
        <f t="shared" si="32"/>
        <v>1.0000000000000002</v>
      </c>
      <c r="Q67" s="286"/>
      <c r="R67" s="287"/>
      <c r="S67" s="287"/>
      <c r="T67" s="287"/>
      <c r="U67" s="18"/>
    </row>
    <row r="68" spans="1:21">
      <c r="A68" s="16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255"/>
      <c r="S68" s="255"/>
      <c r="T68" s="255"/>
      <c r="U68" s="18"/>
    </row>
    <row r="69" spans="1:21">
      <c r="A69" s="159" t="s">
        <v>473</v>
      </c>
      <c r="C69" s="286">
        <f t="shared" ref="C69:E69" si="33">C63</f>
        <v>604.67999999999995</v>
      </c>
      <c r="D69" s="286">
        <f t="shared" si="33"/>
        <v>526.35</v>
      </c>
      <c r="E69" s="286">
        <f t="shared" si="33"/>
        <v>592.84</v>
      </c>
      <c r="F69" s="286">
        <f t="shared" ref="F69:N69" si="34">F63</f>
        <v>586.97</v>
      </c>
      <c r="G69" s="286">
        <f t="shared" si="34"/>
        <v>537.16</v>
      </c>
      <c r="H69" s="286">
        <f t="shared" si="34"/>
        <v>588.77</v>
      </c>
      <c r="I69" s="286">
        <f t="shared" si="34"/>
        <v>510.25</v>
      </c>
      <c r="J69" s="286">
        <f t="shared" si="34"/>
        <v>610.67999999999995</v>
      </c>
      <c r="K69" s="286">
        <f t="shared" si="34"/>
        <v>676.38</v>
      </c>
      <c r="L69" s="286">
        <f t="shared" si="34"/>
        <v>643.70000000000005</v>
      </c>
      <c r="M69" s="286">
        <f t="shared" si="34"/>
        <v>740.82</v>
      </c>
      <c r="N69" s="286">
        <f t="shared" si="34"/>
        <v>628.5</v>
      </c>
      <c r="O69" s="286">
        <f>SUM(C69:N69)</f>
        <v>7247.0999999999995</v>
      </c>
      <c r="P69" s="34"/>
      <c r="Q69" s="34"/>
      <c r="R69" s="287"/>
      <c r="S69" s="287"/>
      <c r="T69" s="287"/>
      <c r="U69" s="18"/>
    </row>
    <row r="70" spans="1:21">
      <c r="A70" s="159" t="s">
        <v>327</v>
      </c>
      <c r="C70" s="293">
        <v>38</v>
      </c>
      <c r="D70" s="293">
        <v>41.75</v>
      </c>
      <c r="E70" s="293">
        <v>34.43</v>
      </c>
      <c r="F70" s="293">
        <v>46.5</v>
      </c>
      <c r="G70" s="293">
        <v>36</v>
      </c>
      <c r="H70" s="293">
        <v>49.5</v>
      </c>
      <c r="I70" s="293">
        <v>37.5</v>
      </c>
      <c r="J70" s="293">
        <v>37.5</v>
      </c>
      <c r="K70" s="293">
        <v>40.25</v>
      </c>
      <c r="L70" s="293">
        <v>40</v>
      </c>
      <c r="M70" s="293">
        <v>49</v>
      </c>
      <c r="N70" s="293">
        <v>30.5</v>
      </c>
      <c r="O70" s="286">
        <f>SUM(C70:N70)</f>
        <v>480.93</v>
      </c>
      <c r="P70" s="291">
        <f>O70/O69</f>
        <v>6.6361717100633363E-2</v>
      </c>
      <c r="Q70" s="34"/>
      <c r="R70" s="720"/>
      <c r="S70" s="720"/>
      <c r="T70" s="720"/>
      <c r="U70" s="18"/>
    </row>
    <row r="71" spans="1:21" ht="13.5" thickBot="1">
      <c r="A71" s="159" t="s">
        <v>747</v>
      </c>
      <c r="C71" s="292">
        <v>24</v>
      </c>
      <c r="D71" s="292">
        <v>15.5</v>
      </c>
      <c r="E71" s="292">
        <v>21</v>
      </c>
      <c r="F71" s="292">
        <v>8</v>
      </c>
      <c r="G71" s="292">
        <v>16.5</v>
      </c>
      <c r="H71" s="292">
        <v>18.5</v>
      </c>
      <c r="I71" s="292">
        <v>20.170000000000002</v>
      </c>
      <c r="J71" s="292">
        <v>18.52</v>
      </c>
      <c r="K71" s="292">
        <v>16</v>
      </c>
      <c r="L71" s="292">
        <v>22.91</v>
      </c>
      <c r="M71" s="292">
        <v>17</v>
      </c>
      <c r="N71" s="292">
        <v>26.75</v>
      </c>
      <c r="O71" s="290">
        <f>SUM(C71:N71)</f>
        <v>224.85</v>
      </c>
      <c r="P71" s="289">
        <f>O71/O69</f>
        <v>3.1026203584882232E-2</v>
      </c>
      <c r="Q71" s="34"/>
      <c r="R71" s="720"/>
      <c r="S71" s="720"/>
      <c r="T71" s="720"/>
      <c r="U71" s="18"/>
    </row>
    <row r="72" spans="1:21">
      <c r="A72" s="16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291"/>
      <c r="Q72" s="34"/>
      <c r="R72" s="255"/>
      <c r="S72" s="255"/>
      <c r="T72" s="255"/>
      <c r="U72" s="18"/>
    </row>
    <row r="73" spans="1:21" ht="13.5" thickBot="1">
      <c r="A73" s="159" t="s">
        <v>746</v>
      </c>
      <c r="C73" s="290">
        <f t="shared" ref="C73:E73" si="35">C63-C70-C71</f>
        <v>542.67999999999995</v>
      </c>
      <c r="D73" s="290">
        <f t="shared" si="35"/>
        <v>469.1</v>
      </c>
      <c r="E73" s="290">
        <f t="shared" si="35"/>
        <v>537.41000000000008</v>
      </c>
      <c r="F73" s="290">
        <f t="shared" ref="F73:M73" si="36">F63-F70-F71</f>
        <v>532.47</v>
      </c>
      <c r="G73" s="290">
        <f t="shared" si="36"/>
        <v>484.65999999999997</v>
      </c>
      <c r="H73" s="290">
        <f t="shared" si="36"/>
        <v>520.77</v>
      </c>
      <c r="I73" s="290">
        <f t="shared" si="36"/>
        <v>452.58</v>
      </c>
      <c r="J73" s="290">
        <f t="shared" si="36"/>
        <v>554.66</v>
      </c>
      <c r="K73" s="290">
        <f t="shared" si="36"/>
        <v>620.13</v>
      </c>
      <c r="L73" s="290">
        <f t="shared" si="36"/>
        <v>580.79000000000008</v>
      </c>
      <c r="M73" s="290">
        <f t="shared" si="36"/>
        <v>674.82</v>
      </c>
      <c r="N73" s="290">
        <f t="shared" ref="N73:O73" si="37">N63-N70-N71</f>
        <v>571.25</v>
      </c>
      <c r="O73" s="290">
        <f t="shared" si="37"/>
        <v>6541.3199999999988</v>
      </c>
      <c r="P73" s="289">
        <f>O73/O69</f>
        <v>0.90261207931448428</v>
      </c>
      <c r="Q73" s="34"/>
      <c r="R73" s="287"/>
      <c r="S73" s="287"/>
      <c r="T73" s="287"/>
      <c r="U73" s="18"/>
    </row>
    <row r="74" spans="1:21">
      <c r="A74" s="16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255"/>
      <c r="S74" s="255"/>
      <c r="T74" s="255"/>
      <c r="U74" s="18"/>
    </row>
    <row r="75" spans="1:21">
      <c r="A75" s="16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18"/>
      <c r="S75" s="18"/>
      <c r="T75" s="18"/>
      <c r="U75" s="18"/>
    </row>
    <row r="76" spans="1:21">
      <c r="A76" s="16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18"/>
      <c r="S76" s="18"/>
      <c r="T76" s="18"/>
      <c r="U76" s="18"/>
    </row>
    <row r="77" spans="1:21">
      <c r="C77" s="34"/>
      <c r="D77" s="34"/>
      <c r="E77" s="34"/>
      <c r="F77" s="34"/>
      <c r="G77" s="34"/>
      <c r="R77" s="18"/>
      <c r="S77" s="18"/>
      <c r="T77" s="18"/>
      <c r="U77" s="18"/>
    </row>
    <row r="78" spans="1:21">
      <c r="A78" s="127" t="s">
        <v>745</v>
      </c>
      <c r="C78" s="34"/>
      <c r="D78" s="34"/>
      <c r="E78" s="34"/>
      <c r="F78" s="34"/>
      <c r="G78" s="34"/>
      <c r="J78" t="s">
        <v>1318</v>
      </c>
      <c r="O78" s="722">
        <v>1322</v>
      </c>
      <c r="R78" s="18"/>
      <c r="S78" s="18"/>
      <c r="T78" s="18"/>
      <c r="U78" s="18"/>
    </row>
    <row r="79" spans="1:21">
      <c r="B79" s="83"/>
      <c r="C79" s="34"/>
      <c r="D79" s="34"/>
      <c r="E79" s="34"/>
      <c r="F79" s="34"/>
      <c r="G79" s="34"/>
      <c r="R79" s="18"/>
      <c r="S79" s="18"/>
      <c r="T79" s="18"/>
      <c r="U79" s="18"/>
    </row>
    <row r="80" spans="1:21">
      <c r="G80" s="723">
        <v>44834</v>
      </c>
      <c r="H80" s="724">
        <v>44470</v>
      </c>
      <c r="R80" s="18"/>
      <c r="S80" s="18"/>
      <c r="T80" s="18"/>
      <c r="U80" s="18"/>
    </row>
    <row r="81" spans="1:21">
      <c r="A81" s="127" t="s">
        <v>744</v>
      </c>
      <c r="E81" s="83" t="s">
        <v>1285</v>
      </c>
      <c r="G81" s="725">
        <v>252824</v>
      </c>
      <c r="H81" s="725">
        <v>223521</v>
      </c>
      <c r="I81">
        <f>+G81-H81</f>
        <v>29303</v>
      </c>
      <c r="O81" s="288">
        <f>+I83</f>
        <v>31384</v>
      </c>
      <c r="P81" s="643" t="s">
        <v>1358</v>
      </c>
      <c r="R81" s="18"/>
      <c r="S81" s="18"/>
      <c r="T81" s="18"/>
      <c r="U81" s="18"/>
    </row>
    <row r="82" spans="1:21">
      <c r="E82" s="643" t="s">
        <v>1439</v>
      </c>
      <c r="G82" s="725">
        <v>181493</v>
      </c>
      <c r="H82" s="725">
        <v>179412</v>
      </c>
      <c r="I82" s="76">
        <f>+G82-H82</f>
        <v>2081</v>
      </c>
      <c r="R82" s="18"/>
      <c r="S82" s="18"/>
      <c r="T82" s="18"/>
      <c r="U82" s="18"/>
    </row>
    <row r="83" spans="1:21">
      <c r="I83">
        <f>+I81+I82</f>
        <v>31384</v>
      </c>
      <c r="R83" s="18"/>
      <c r="S83" s="18"/>
      <c r="T83" s="18"/>
      <c r="U83" s="18"/>
    </row>
    <row r="84" spans="1:21">
      <c r="R84" s="18"/>
      <c r="S84" s="18"/>
      <c r="T84" s="18"/>
      <c r="U84" s="18"/>
    </row>
    <row r="85" spans="1:21">
      <c r="R85" s="18"/>
      <c r="S85" s="18"/>
      <c r="T85" s="18"/>
      <c r="U85" s="18"/>
    </row>
    <row r="86" spans="1:21">
      <c r="J86" t="s">
        <v>326</v>
      </c>
      <c r="R86" s="18"/>
      <c r="S86" s="18"/>
      <c r="T86" s="18"/>
      <c r="U86" s="18"/>
    </row>
    <row r="87" spans="1:21">
      <c r="R87" s="18"/>
      <c r="S87" s="18"/>
      <c r="T87" s="18"/>
      <c r="U87" s="18"/>
    </row>
    <row r="88" spans="1:21">
      <c r="R88" s="18"/>
      <c r="S88" s="18"/>
      <c r="T88" s="18"/>
      <c r="U88" s="18"/>
    </row>
    <row r="89" spans="1:21">
      <c r="R89" s="18"/>
      <c r="S89" s="18"/>
      <c r="T89" s="18"/>
      <c r="U89" s="18"/>
    </row>
    <row r="90" spans="1:21">
      <c r="R90" s="18"/>
      <c r="S90" s="18"/>
      <c r="T90" s="18"/>
      <c r="U90" s="18"/>
    </row>
    <row r="91" spans="1:21">
      <c r="R91" s="18"/>
      <c r="S91" s="18"/>
      <c r="T91" s="18"/>
      <c r="U91" s="18"/>
    </row>
    <row r="150" spans="18:45">
      <c r="R150" s="286"/>
    </row>
    <row r="151" spans="18:45">
      <c r="R151" s="286"/>
    </row>
    <row r="152" spans="18:45">
      <c r="R152" s="286"/>
    </row>
    <row r="153" spans="18:45">
      <c r="R153" s="286"/>
    </row>
    <row r="154" spans="18:45">
      <c r="R154" s="287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</row>
    <row r="155" spans="18:45">
      <c r="R155" s="286"/>
    </row>
    <row r="156" spans="18:45">
      <c r="R156" s="287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</row>
    <row r="157" spans="18:45">
      <c r="R157" s="34"/>
    </row>
    <row r="166" spans="18:18">
      <c r="R166" s="286"/>
    </row>
    <row r="167" spans="18:18">
      <c r="R167" s="286"/>
    </row>
    <row r="168" spans="18:18">
      <c r="R168" s="286"/>
    </row>
    <row r="169" spans="18:18">
      <c r="R169" s="286"/>
    </row>
    <row r="170" spans="18:18">
      <c r="R170" s="286"/>
    </row>
    <row r="171" spans="18:18">
      <c r="R171" s="286"/>
    </row>
    <row r="172" spans="18:18">
      <c r="R172" s="286"/>
    </row>
    <row r="173" spans="18:18">
      <c r="R173" s="34"/>
    </row>
  </sheetData>
  <pageMargins left="0.25" right="0.25" top="0.25" bottom="0.25" header="0.5" footer="0.5"/>
  <pageSetup scale="82" fitToHeight="2" orientation="landscape" horizontalDpi="4294967293" verticalDpi="4294967293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workbookViewId="0">
      <selection activeCell="E4" sqref="E4"/>
    </sheetView>
  </sheetViews>
  <sheetFormatPr defaultRowHeight="12.75"/>
  <sheetData>
    <row r="1" spans="1:24">
      <c r="A1" t="s">
        <v>0</v>
      </c>
    </row>
    <row r="2" spans="1:24">
      <c r="D2" s="643"/>
    </row>
    <row r="3" spans="1:24">
      <c r="A3" s="642" t="s">
        <v>1441</v>
      </c>
      <c r="D3" s="663" t="s">
        <v>1342</v>
      </c>
      <c r="E3" s="647" t="s">
        <v>689</v>
      </c>
    </row>
    <row r="9" spans="1:24">
      <c r="A9" s="127" t="s">
        <v>1440</v>
      </c>
    </row>
    <row r="10" spans="1:24">
      <c r="A10" s="127"/>
    </row>
    <row r="11" spans="1:24" ht="13.5" thickBot="1">
      <c r="C11" s="5"/>
      <c r="D11" s="5"/>
      <c r="E11" s="5"/>
      <c r="F11" s="5"/>
      <c r="G11" s="5"/>
      <c r="H11" s="92"/>
      <c r="I11" s="92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4">
      <c r="C12" s="2" t="s">
        <v>323</v>
      </c>
      <c r="D12" s="2" t="s">
        <v>294</v>
      </c>
      <c r="E12" s="2" t="s">
        <v>295</v>
      </c>
      <c r="F12" s="2" t="s">
        <v>2</v>
      </c>
      <c r="G12" s="93" t="s">
        <v>106</v>
      </c>
      <c r="H12" s="133" t="s">
        <v>295</v>
      </c>
      <c r="I12" s="93" t="s">
        <v>106</v>
      </c>
      <c r="J12" s="133" t="s">
        <v>760</v>
      </c>
      <c r="K12" s="2" t="s">
        <v>759</v>
      </c>
      <c r="L12" s="2" t="s">
        <v>758</v>
      </c>
      <c r="M12" s="2" t="s">
        <v>757</v>
      </c>
      <c r="N12" s="2" t="s">
        <v>756</v>
      </c>
      <c r="O12" s="2" t="s">
        <v>755</v>
      </c>
      <c r="P12" s="2" t="s">
        <v>754</v>
      </c>
      <c r="Q12" s="2" t="s">
        <v>753</v>
      </c>
      <c r="R12" s="2" t="s">
        <v>752</v>
      </c>
      <c r="S12" s="2" t="s">
        <v>751</v>
      </c>
      <c r="T12" s="2" t="s">
        <v>2</v>
      </c>
      <c r="U12" s="2" t="s">
        <v>106</v>
      </c>
    </row>
    <row r="13" spans="1:24" ht="13.5" thickBot="1">
      <c r="C13" s="20"/>
      <c r="D13" s="20"/>
      <c r="E13" s="20"/>
      <c r="F13" s="5"/>
      <c r="G13" s="5"/>
      <c r="H13" s="316" t="s">
        <v>340</v>
      </c>
      <c r="I13" s="5"/>
      <c r="J13" s="130"/>
      <c r="K13" s="20"/>
      <c r="L13" s="20"/>
      <c r="M13" s="20"/>
      <c r="N13" s="20"/>
      <c r="O13" s="20"/>
      <c r="P13" s="20"/>
      <c r="Q13" s="5"/>
      <c r="R13" s="5"/>
      <c r="S13" s="5"/>
      <c r="T13" s="5"/>
      <c r="U13" s="5"/>
    </row>
    <row r="14" spans="1:24">
      <c r="A14" s="16" t="s">
        <v>108</v>
      </c>
      <c r="C14" s="303">
        <v>0</v>
      </c>
      <c r="D14" s="303">
        <v>591</v>
      </c>
      <c r="E14" s="303">
        <v>63</v>
      </c>
      <c r="F14" s="300">
        <f>SUM(C14:E14)</f>
        <v>654</v>
      </c>
      <c r="G14" s="313">
        <f>+F14/F20</f>
        <v>0.13759730696402273</v>
      </c>
      <c r="H14" s="314"/>
      <c r="I14" s="313">
        <f>+H14/H20</f>
        <v>0</v>
      </c>
      <c r="J14" s="312"/>
      <c r="K14" s="303"/>
      <c r="L14" s="303"/>
      <c r="M14" s="303">
        <v>33</v>
      </c>
      <c r="N14" s="303"/>
      <c r="O14" s="303">
        <v>21</v>
      </c>
      <c r="P14" s="303"/>
      <c r="Q14" s="303">
        <v>9</v>
      </c>
      <c r="R14" s="303">
        <v>4</v>
      </c>
      <c r="S14" s="303"/>
      <c r="T14" s="300">
        <f>SUM(J14:S14)</f>
        <v>67</v>
      </c>
      <c r="U14" s="296">
        <f>+T14/T20</f>
        <v>5.4471544715447157E-2</v>
      </c>
      <c r="W14" s="22">
        <f>F14+H14+T14</f>
        <v>721</v>
      </c>
      <c r="X14" s="58">
        <f>W14/$W$20</f>
        <v>0.11377623481142496</v>
      </c>
    </row>
    <row r="15" spans="1:24">
      <c r="A15" s="16" t="s">
        <v>109</v>
      </c>
      <c r="C15" s="303">
        <v>0</v>
      </c>
      <c r="D15" s="303">
        <v>212</v>
      </c>
      <c r="E15" s="303">
        <v>32</v>
      </c>
      <c r="F15" s="300">
        <f>SUM(C15:E15)</f>
        <v>244</v>
      </c>
      <c r="G15" s="313">
        <f>+F15/F20</f>
        <v>5.1335998316852517E-2</v>
      </c>
      <c r="H15" s="314"/>
      <c r="I15" s="313">
        <f>+H15/H20</f>
        <v>0</v>
      </c>
      <c r="J15" s="312"/>
      <c r="K15" s="303"/>
      <c r="L15" s="303"/>
      <c r="M15" s="303">
        <v>13</v>
      </c>
      <c r="N15" s="303"/>
      <c r="O15" s="303">
        <v>17</v>
      </c>
      <c r="P15" s="303"/>
      <c r="Q15" s="303">
        <v>2</v>
      </c>
      <c r="R15" s="303">
        <v>0</v>
      </c>
      <c r="S15" s="303"/>
      <c r="T15" s="300">
        <f>SUM(J15:S15)</f>
        <v>32</v>
      </c>
      <c r="U15" s="296">
        <f>+T15/T20</f>
        <v>2.6016260162601626E-2</v>
      </c>
      <c r="W15" s="22">
        <f>F15+H15+T15</f>
        <v>276</v>
      </c>
      <c r="X15" s="58">
        <f>W15/$W$20</f>
        <v>4.3553732049865866E-2</v>
      </c>
    </row>
    <row r="16" spans="1:24">
      <c r="A16" s="16" t="s">
        <v>473</v>
      </c>
      <c r="C16" s="303">
        <v>764</v>
      </c>
      <c r="D16" s="303">
        <v>1454</v>
      </c>
      <c r="E16" s="303">
        <v>1637</v>
      </c>
      <c r="F16" s="300">
        <f>SUM(C16:E16)</f>
        <v>3855</v>
      </c>
      <c r="G16" s="313">
        <f>+F16/F20</f>
        <v>0.81106669471912474</v>
      </c>
      <c r="H16" s="315">
        <v>354</v>
      </c>
      <c r="I16" s="313">
        <f>+H16/H20</f>
        <v>1</v>
      </c>
      <c r="J16" s="312">
        <v>6</v>
      </c>
      <c r="K16" s="303">
        <v>15</v>
      </c>
      <c r="L16" s="303">
        <v>17</v>
      </c>
      <c r="M16" s="303">
        <v>392</v>
      </c>
      <c r="N16" s="303">
        <v>73</v>
      </c>
      <c r="O16" s="303">
        <v>316</v>
      </c>
      <c r="P16" s="303">
        <v>6</v>
      </c>
      <c r="Q16" s="303">
        <v>47</v>
      </c>
      <c r="R16" s="303">
        <v>55</v>
      </c>
      <c r="S16" s="303">
        <v>0</v>
      </c>
      <c r="T16" s="300">
        <f>SUM(J16:S16)</f>
        <v>927</v>
      </c>
      <c r="U16" s="296">
        <f>+T16/T20</f>
        <v>0.75365853658536586</v>
      </c>
      <c r="W16" s="22">
        <f>F16+H16+T16</f>
        <v>5136</v>
      </c>
      <c r="X16" s="58">
        <f>W16/$W$20</f>
        <v>0.81047814423228659</v>
      </c>
    </row>
    <row r="17" spans="1:24">
      <c r="A17" s="16" t="s">
        <v>472</v>
      </c>
      <c r="C17" s="303"/>
      <c r="D17" s="303"/>
      <c r="E17" s="303"/>
      <c r="F17" s="300">
        <f>SUM(D17:E17)</f>
        <v>0</v>
      </c>
      <c r="G17" s="313">
        <f>+F17/F20</f>
        <v>0</v>
      </c>
      <c r="H17" s="314"/>
      <c r="I17" s="313">
        <f>+H17/H20</f>
        <v>0</v>
      </c>
      <c r="J17" s="312"/>
      <c r="K17" s="303">
        <v>2</v>
      </c>
      <c r="L17" s="303">
        <v>3</v>
      </c>
      <c r="M17" s="303">
        <v>17</v>
      </c>
      <c r="N17" s="303"/>
      <c r="O17" s="303">
        <v>18</v>
      </c>
      <c r="P17" s="303">
        <v>1</v>
      </c>
      <c r="Q17" s="303">
        <v>7</v>
      </c>
      <c r="R17" s="303">
        <v>4</v>
      </c>
      <c r="S17" s="303"/>
      <c r="T17" s="300">
        <f>SUM(J17:S17)</f>
        <v>52</v>
      </c>
      <c r="U17" s="296">
        <f>+T17/T20</f>
        <v>4.2276422764227641E-2</v>
      </c>
      <c r="W17" s="22">
        <f>F17+H17+T17</f>
        <v>52</v>
      </c>
      <c r="X17" s="58">
        <f>W17/$W$20</f>
        <v>8.2057756035979167E-3</v>
      </c>
    </row>
    <row r="18" spans="1:24" ht="13.5" thickBot="1">
      <c r="A18" s="16" t="s">
        <v>471</v>
      </c>
      <c r="C18" s="302"/>
      <c r="D18" s="302"/>
      <c r="E18" s="302"/>
      <c r="F18" s="298">
        <f>SUM(D18:E18)</f>
        <v>0</v>
      </c>
      <c r="G18" s="294">
        <f>+F18/F20</f>
        <v>0</v>
      </c>
      <c r="H18" s="311"/>
      <c r="I18" s="294">
        <f>+H18/H20</f>
        <v>0</v>
      </c>
      <c r="J18" s="310"/>
      <c r="K18" s="302">
        <v>1</v>
      </c>
      <c r="L18" s="302">
        <v>7</v>
      </c>
      <c r="M18" s="302">
        <v>28</v>
      </c>
      <c r="N18" s="302"/>
      <c r="O18" s="302">
        <v>57</v>
      </c>
      <c r="P18" s="302"/>
      <c r="Q18" s="302">
        <v>15</v>
      </c>
      <c r="R18" s="302">
        <v>44</v>
      </c>
      <c r="S18" s="302"/>
      <c r="T18" s="298">
        <f>SUM(J18:S18)</f>
        <v>152</v>
      </c>
      <c r="U18" s="294">
        <f>+T18/T20</f>
        <v>0.12357723577235773</v>
      </c>
      <c r="W18" s="22">
        <f>F18+H18+T18</f>
        <v>152</v>
      </c>
      <c r="X18" s="58">
        <f>W18/$W$20</f>
        <v>2.3986113302824682E-2</v>
      </c>
    </row>
    <row r="19" spans="1:24">
      <c r="A19" s="16"/>
      <c r="C19" s="286"/>
      <c r="D19" s="286"/>
      <c r="E19" s="286"/>
      <c r="F19" s="286"/>
      <c r="G19" s="287"/>
      <c r="H19" s="309"/>
      <c r="I19" s="287"/>
      <c r="J19" s="309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</row>
    <row r="20" spans="1:24" ht="13.5" thickBot="1">
      <c r="A20" s="16" t="s">
        <v>2</v>
      </c>
      <c r="C20" s="307">
        <f t="shared" ref="C20:U20" si="0">SUM(C14:C18)</f>
        <v>764</v>
      </c>
      <c r="D20" s="307">
        <f t="shared" si="0"/>
        <v>2257</v>
      </c>
      <c r="E20" s="307">
        <f t="shared" si="0"/>
        <v>1732</v>
      </c>
      <c r="F20" s="307">
        <f t="shared" si="0"/>
        <v>4753</v>
      </c>
      <c r="G20" s="306">
        <f t="shared" si="0"/>
        <v>1</v>
      </c>
      <c r="H20" s="308">
        <f t="shared" si="0"/>
        <v>354</v>
      </c>
      <c r="I20" s="306">
        <f t="shared" si="0"/>
        <v>1</v>
      </c>
      <c r="J20" s="308">
        <f t="shared" si="0"/>
        <v>6</v>
      </c>
      <c r="K20" s="307">
        <f t="shared" si="0"/>
        <v>18</v>
      </c>
      <c r="L20" s="307">
        <f t="shared" si="0"/>
        <v>27</v>
      </c>
      <c r="M20" s="307">
        <f t="shared" si="0"/>
        <v>483</v>
      </c>
      <c r="N20" s="307">
        <f t="shared" si="0"/>
        <v>73</v>
      </c>
      <c r="O20" s="307">
        <f t="shared" si="0"/>
        <v>429</v>
      </c>
      <c r="P20" s="307">
        <f t="shared" si="0"/>
        <v>7</v>
      </c>
      <c r="Q20" s="307">
        <f t="shared" si="0"/>
        <v>80</v>
      </c>
      <c r="R20" s="307">
        <f t="shared" si="0"/>
        <v>107</v>
      </c>
      <c r="S20" s="307">
        <f t="shared" si="0"/>
        <v>0</v>
      </c>
      <c r="T20" s="307">
        <f t="shared" si="0"/>
        <v>1230</v>
      </c>
      <c r="U20" s="306">
        <f t="shared" si="0"/>
        <v>0.99999999999999989</v>
      </c>
      <c r="W20" s="22">
        <f>SUM(W14:W18)</f>
        <v>6337</v>
      </c>
    </row>
    <row r="21" spans="1:24" ht="13.5" thickTop="1">
      <c r="A21" s="16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</row>
  </sheetData>
  <pageMargins left="0.7" right="0.7" top="0.75" bottom="0.75" header="0.3" footer="0.3"/>
  <pageSetup scale="56" orientation="landscape" horizontalDpi="4294967293" verticalDpi="4294967293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0"/>
  <sheetViews>
    <sheetView workbookViewId="0">
      <selection activeCell="E3" sqref="E3"/>
    </sheetView>
  </sheetViews>
  <sheetFormatPr defaultRowHeight="12.75"/>
  <cols>
    <col min="12" max="12" width="11.5703125" customWidth="1"/>
    <col min="13" max="13" width="9.85546875" customWidth="1"/>
    <col min="14" max="14" width="10.42578125" customWidth="1"/>
    <col min="15" max="15" width="10.28515625" customWidth="1"/>
    <col min="16" max="16" width="10.140625" customWidth="1"/>
    <col min="17" max="17" width="11.140625" customWidth="1"/>
    <col min="20" max="20" width="10.7109375" bestFit="1" customWidth="1"/>
  </cols>
  <sheetData>
    <row r="1" spans="1:17">
      <c r="A1" t="s">
        <v>0</v>
      </c>
    </row>
    <row r="3" spans="1:17">
      <c r="A3" s="642" t="s">
        <v>1438</v>
      </c>
      <c r="D3" s="663" t="s">
        <v>1342</v>
      </c>
      <c r="E3" s="647" t="s">
        <v>689</v>
      </c>
    </row>
    <row r="6" spans="1:17">
      <c r="A6" s="127" t="s">
        <v>518</v>
      </c>
      <c r="G6" s="195"/>
      <c r="H6" s="195"/>
      <c r="I6" s="195"/>
      <c r="J6" s="195"/>
    </row>
    <row r="7" spans="1:17">
      <c r="A7" t="s">
        <v>326</v>
      </c>
    </row>
    <row r="8" spans="1:17">
      <c r="A8" s="127" t="s">
        <v>517</v>
      </c>
      <c r="J8" s="127" t="s">
        <v>516</v>
      </c>
    </row>
    <row r="9" spans="1:17">
      <c r="A9" s="127"/>
      <c r="J9" s="127"/>
    </row>
    <row r="10" spans="1:17" ht="13.5" thickBot="1">
      <c r="C10" s="4" t="s">
        <v>473</v>
      </c>
      <c r="D10" s="4" t="s">
        <v>471</v>
      </c>
      <c r="E10" s="4" t="s">
        <v>472</v>
      </c>
      <c r="F10" s="4" t="s">
        <v>109</v>
      </c>
      <c r="G10" s="4" t="s">
        <v>112</v>
      </c>
      <c r="H10" s="4" t="s">
        <v>2</v>
      </c>
      <c r="L10" s="4" t="s">
        <v>473</v>
      </c>
      <c r="M10" s="4" t="s">
        <v>471</v>
      </c>
      <c r="N10" s="4" t="s">
        <v>472</v>
      </c>
      <c r="O10" s="4" t="s">
        <v>109</v>
      </c>
      <c r="P10" s="4" t="s">
        <v>112</v>
      </c>
      <c r="Q10" s="4" t="s">
        <v>2</v>
      </c>
    </row>
    <row r="11" spans="1:17" ht="13.5" thickTop="1">
      <c r="C11" s="93"/>
      <c r="D11" s="93"/>
      <c r="E11" s="93"/>
      <c r="F11" s="93"/>
      <c r="G11" s="93"/>
      <c r="H11" s="93"/>
      <c r="L11" s="93"/>
      <c r="M11" s="93"/>
      <c r="N11" s="93"/>
      <c r="O11" s="93"/>
      <c r="P11" s="93"/>
      <c r="Q11" s="93"/>
    </row>
    <row r="12" spans="1:17">
      <c r="A12" t="s">
        <v>504</v>
      </c>
      <c r="C12" s="319">
        <v>0</v>
      </c>
      <c r="D12" s="319">
        <v>307</v>
      </c>
      <c r="E12" s="319">
        <v>86</v>
      </c>
      <c r="F12" s="319">
        <v>89</v>
      </c>
      <c r="G12" s="319">
        <v>234</v>
      </c>
      <c r="H12" s="176">
        <f t="shared" ref="H12:H23" si="0">SUM(C12:G12)</f>
        <v>716</v>
      </c>
      <c r="J12" t="str">
        <f t="shared" ref="J12:J23" si="1">+A12</f>
        <v>October</v>
      </c>
      <c r="L12" s="318">
        <v>0</v>
      </c>
      <c r="M12" s="318">
        <v>10691.6</v>
      </c>
      <c r="N12" s="318">
        <v>2927.25</v>
      </c>
      <c r="O12" s="318">
        <v>3035.12</v>
      </c>
      <c r="P12" s="318">
        <v>8389.75</v>
      </c>
      <c r="Q12" s="6">
        <f t="shared" ref="Q12:Q23" si="2">SUM(L12:P12)</f>
        <v>25043.72</v>
      </c>
    </row>
    <row r="13" spans="1:17">
      <c r="A13" t="s">
        <v>503</v>
      </c>
      <c r="C13" s="319">
        <v>0</v>
      </c>
      <c r="D13" s="319">
        <v>294</v>
      </c>
      <c r="E13" s="319">
        <v>76</v>
      </c>
      <c r="F13" s="319">
        <v>103</v>
      </c>
      <c r="G13" s="319">
        <v>254</v>
      </c>
      <c r="H13" s="176">
        <f t="shared" si="0"/>
        <v>727</v>
      </c>
      <c r="J13" t="str">
        <f t="shared" si="1"/>
        <v>November</v>
      </c>
      <c r="L13" s="318">
        <v>0</v>
      </c>
      <c r="M13" s="318">
        <v>10576.76</v>
      </c>
      <c r="N13" s="318">
        <v>2703.55</v>
      </c>
      <c r="O13" s="318">
        <v>3529.37</v>
      </c>
      <c r="P13" s="318">
        <v>9210.4</v>
      </c>
      <c r="Q13" s="6">
        <f t="shared" si="2"/>
        <v>26020.080000000002</v>
      </c>
    </row>
    <row r="14" spans="1:17">
      <c r="A14" t="s">
        <v>502</v>
      </c>
      <c r="C14" s="236">
        <v>0</v>
      </c>
      <c r="D14" s="236">
        <v>73</v>
      </c>
      <c r="E14" s="236">
        <v>63</v>
      </c>
      <c r="F14" s="236">
        <v>75</v>
      </c>
      <c r="G14" s="236">
        <v>182</v>
      </c>
      <c r="H14" s="176">
        <f t="shared" si="0"/>
        <v>393</v>
      </c>
      <c r="J14" t="str">
        <f t="shared" si="1"/>
        <v>December</v>
      </c>
      <c r="L14" s="320">
        <v>0</v>
      </c>
      <c r="M14" s="320">
        <v>2463.21</v>
      </c>
      <c r="N14" s="320">
        <v>2271.02</v>
      </c>
      <c r="O14" s="320">
        <v>2467.5700000000002</v>
      </c>
      <c r="P14" s="320">
        <v>6005.42</v>
      </c>
      <c r="Q14" s="6">
        <f t="shared" si="2"/>
        <v>13207.22</v>
      </c>
    </row>
    <row r="15" spans="1:17">
      <c r="A15" s="643" t="s">
        <v>513</v>
      </c>
      <c r="C15" s="319">
        <v>0</v>
      </c>
      <c r="D15" s="319">
        <v>79</v>
      </c>
      <c r="E15" s="319">
        <v>51</v>
      </c>
      <c r="F15" s="319">
        <v>66</v>
      </c>
      <c r="G15" s="319">
        <v>197</v>
      </c>
      <c r="H15" s="176">
        <f t="shared" si="0"/>
        <v>393</v>
      </c>
      <c r="J15" t="str">
        <f t="shared" si="1"/>
        <v>January</v>
      </c>
      <c r="L15" s="318">
        <v>0</v>
      </c>
      <c r="M15" s="318">
        <v>2685.93</v>
      </c>
      <c r="N15" s="318">
        <v>1790.65</v>
      </c>
      <c r="O15" s="318">
        <v>2120.06</v>
      </c>
      <c r="P15" s="318">
        <v>6343.5</v>
      </c>
      <c r="Q15" s="6">
        <f t="shared" si="2"/>
        <v>12940.14</v>
      </c>
    </row>
    <row r="16" spans="1:17">
      <c r="A16" s="643" t="s">
        <v>512</v>
      </c>
      <c r="C16" s="319">
        <v>0</v>
      </c>
      <c r="D16" s="319">
        <v>71</v>
      </c>
      <c r="E16" s="319">
        <v>52</v>
      </c>
      <c r="F16" s="319">
        <v>70</v>
      </c>
      <c r="G16" s="319">
        <v>195</v>
      </c>
      <c r="H16" s="176">
        <f t="shared" si="0"/>
        <v>388</v>
      </c>
      <c r="J16" t="str">
        <f t="shared" si="1"/>
        <v>February</v>
      </c>
      <c r="L16" s="318">
        <v>0</v>
      </c>
      <c r="M16" s="318">
        <v>2257.5</v>
      </c>
      <c r="N16" s="318">
        <v>1743.37</v>
      </c>
      <c r="O16" s="318">
        <v>2247.58</v>
      </c>
      <c r="P16" s="318">
        <v>6340.83</v>
      </c>
      <c r="Q16" s="6">
        <f t="shared" si="2"/>
        <v>12589.279999999999</v>
      </c>
    </row>
    <row r="17" spans="1:20">
      <c r="A17" s="643" t="s">
        <v>511</v>
      </c>
      <c r="C17" s="319">
        <v>0</v>
      </c>
      <c r="D17" s="319">
        <v>118</v>
      </c>
      <c r="E17" s="319">
        <v>71</v>
      </c>
      <c r="F17" s="319">
        <v>90</v>
      </c>
      <c r="G17" s="319">
        <v>251</v>
      </c>
      <c r="H17" s="176">
        <f t="shared" si="0"/>
        <v>530</v>
      </c>
      <c r="J17" t="str">
        <f t="shared" si="1"/>
        <v>March</v>
      </c>
      <c r="L17" s="318">
        <v>0</v>
      </c>
      <c r="M17" s="318">
        <v>4115.83</v>
      </c>
      <c r="N17" s="318">
        <v>2511.19</v>
      </c>
      <c r="O17" s="318">
        <v>3031.42</v>
      </c>
      <c r="P17" s="318">
        <v>8387.67</v>
      </c>
      <c r="Q17" s="6">
        <f t="shared" si="2"/>
        <v>18046.11</v>
      </c>
    </row>
    <row r="18" spans="1:20">
      <c r="A18" t="s">
        <v>510</v>
      </c>
      <c r="C18" s="319">
        <v>0</v>
      </c>
      <c r="D18" s="319">
        <v>163</v>
      </c>
      <c r="E18" s="319">
        <v>82</v>
      </c>
      <c r="F18" s="319">
        <v>81</v>
      </c>
      <c r="G18" s="319">
        <v>223</v>
      </c>
      <c r="H18" s="176">
        <f t="shared" si="0"/>
        <v>549</v>
      </c>
      <c r="J18" t="str">
        <f t="shared" si="1"/>
        <v>April</v>
      </c>
      <c r="L18" s="318">
        <v>0</v>
      </c>
      <c r="M18" s="318">
        <v>5074.9399999999996</v>
      </c>
      <c r="N18" s="318">
        <v>2634.88</v>
      </c>
      <c r="O18" s="318">
        <v>2704.42</v>
      </c>
      <c r="P18" s="318">
        <v>7143.28</v>
      </c>
      <c r="Q18" s="6">
        <f t="shared" si="2"/>
        <v>17557.52</v>
      </c>
    </row>
    <row r="19" spans="1:20">
      <c r="A19" t="s">
        <v>509</v>
      </c>
      <c r="C19" s="319">
        <v>0</v>
      </c>
      <c r="D19" s="319">
        <v>255</v>
      </c>
      <c r="E19" s="319">
        <v>119</v>
      </c>
      <c r="F19" s="319">
        <v>99</v>
      </c>
      <c r="G19" s="319">
        <v>276</v>
      </c>
      <c r="H19" s="176">
        <f t="shared" si="0"/>
        <v>749</v>
      </c>
      <c r="J19" t="str">
        <f t="shared" si="1"/>
        <v>May</v>
      </c>
      <c r="L19" s="318">
        <v>0</v>
      </c>
      <c r="M19" s="318">
        <v>8033.48</v>
      </c>
      <c r="N19" s="318">
        <v>3572.58</v>
      </c>
      <c r="O19" s="318">
        <v>3285.15</v>
      </c>
      <c r="P19" s="318">
        <v>9320.7900000000009</v>
      </c>
      <c r="Q19" s="6">
        <f t="shared" si="2"/>
        <v>24212</v>
      </c>
    </row>
    <row r="20" spans="1:20">
      <c r="A20" t="s">
        <v>508</v>
      </c>
      <c r="C20" s="319">
        <v>0</v>
      </c>
      <c r="D20" s="319">
        <v>263</v>
      </c>
      <c r="E20" s="319">
        <v>102</v>
      </c>
      <c r="F20" s="319">
        <v>96</v>
      </c>
      <c r="G20" s="319">
        <v>229</v>
      </c>
      <c r="H20" s="176">
        <f t="shared" si="0"/>
        <v>690</v>
      </c>
      <c r="J20" t="str">
        <f t="shared" si="1"/>
        <v>June</v>
      </c>
      <c r="L20" s="318">
        <v>0</v>
      </c>
      <c r="M20" s="318">
        <v>9033.5</v>
      </c>
      <c r="N20" s="318">
        <v>3355.77</v>
      </c>
      <c r="O20" s="318">
        <v>3332.79</v>
      </c>
      <c r="P20" s="318">
        <v>7934.11</v>
      </c>
      <c r="Q20" s="6">
        <f t="shared" si="2"/>
        <v>23656.170000000002</v>
      </c>
    </row>
    <row r="21" spans="1:20">
      <c r="A21" t="s">
        <v>507</v>
      </c>
      <c r="C21" s="319">
        <v>0</v>
      </c>
      <c r="D21" s="319">
        <v>338</v>
      </c>
      <c r="E21" s="319">
        <v>97</v>
      </c>
      <c r="F21" s="319">
        <v>95</v>
      </c>
      <c r="G21" s="319">
        <v>217</v>
      </c>
      <c r="H21" s="176">
        <f t="shared" si="0"/>
        <v>747</v>
      </c>
      <c r="J21" t="str">
        <f t="shared" si="1"/>
        <v>July</v>
      </c>
      <c r="L21" s="318">
        <v>0</v>
      </c>
      <c r="M21" s="318">
        <v>10609.43</v>
      </c>
      <c r="N21" s="318">
        <v>3111.49</v>
      </c>
      <c r="O21" s="318">
        <v>3316.53</v>
      </c>
      <c r="P21" s="318">
        <v>7562.49</v>
      </c>
      <c r="Q21" s="6">
        <f t="shared" si="2"/>
        <v>24599.940000000002</v>
      </c>
    </row>
    <row r="22" spans="1:20">
      <c r="A22" t="s">
        <v>506</v>
      </c>
      <c r="C22" s="319">
        <v>0</v>
      </c>
      <c r="D22" s="319">
        <v>369</v>
      </c>
      <c r="E22" s="319">
        <v>120</v>
      </c>
      <c r="F22" s="319">
        <v>118</v>
      </c>
      <c r="G22" s="319">
        <v>257</v>
      </c>
      <c r="H22" s="176">
        <f t="shared" si="0"/>
        <v>864</v>
      </c>
      <c r="J22" t="str">
        <f t="shared" si="1"/>
        <v>August</v>
      </c>
      <c r="L22" s="318">
        <v>0</v>
      </c>
      <c r="M22" s="318">
        <v>11697.04</v>
      </c>
      <c r="N22" s="318">
        <v>3931.74</v>
      </c>
      <c r="O22" s="318">
        <v>4183.72</v>
      </c>
      <c r="P22" s="318">
        <v>9009.9599999999991</v>
      </c>
      <c r="Q22" s="6">
        <f t="shared" si="2"/>
        <v>28822.46</v>
      </c>
    </row>
    <row r="23" spans="1:20" ht="13.5" thickBot="1">
      <c r="A23" t="s">
        <v>505</v>
      </c>
      <c r="C23" s="317">
        <v>0</v>
      </c>
      <c r="D23" s="317">
        <v>293</v>
      </c>
      <c r="E23" s="317">
        <v>103</v>
      </c>
      <c r="F23" s="317">
        <v>98</v>
      </c>
      <c r="G23" s="317">
        <v>234</v>
      </c>
      <c r="H23" s="175">
        <f t="shared" si="0"/>
        <v>728</v>
      </c>
      <c r="J23" t="str">
        <f t="shared" si="1"/>
        <v>September</v>
      </c>
      <c r="L23" s="48">
        <v>0</v>
      </c>
      <c r="M23" s="48">
        <v>9435.44</v>
      </c>
      <c r="N23" s="48">
        <v>3368.9</v>
      </c>
      <c r="O23" s="48">
        <v>3415.94</v>
      </c>
      <c r="P23" s="48">
        <v>8284.39</v>
      </c>
      <c r="Q23" s="7">
        <f t="shared" si="2"/>
        <v>24504.67</v>
      </c>
    </row>
    <row r="24" spans="1:20">
      <c r="C24" s="122"/>
      <c r="D24" s="122"/>
      <c r="E24" s="122"/>
      <c r="F24" s="122"/>
      <c r="G24" s="122"/>
      <c r="H24" s="122"/>
      <c r="L24" s="6"/>
      <c r="M24" s="6"/>
      <c r="N24" s="6"/>
      <c r="O24" s="6"/>
      <c r="P24" s="6"/>
      <c r="Q24" s="6"/>
    </row>
    <row r="25" spans="1:20" ht="13.5" thickBot="1">
      <c r="B25" t="s">
        <v>2</v>
      </c>
      <c r="C25" s="165">
        <f t="shared" ref="C25:H25" si="3">SUM(C12:C23)</f>
        <v>0</v>
      </c>
      <c r="D25" s="165">
        <f t="shared" si="3"/>
        <v>2623</v>
      </c>
      <c r="E25" s="165">
        <f t="shared" si="3"/>
        <v>1022</v>
      </c>
      <c r="F25" s="165">
        <f t="shared" si="3"/>
        <v>1080</v>
      </c>
      <c r="G25" s="165">
        <f t="shared" si="3"/>
        <v>2749</v>
      </c>
      <c r="H25" s="165">
        <f t="shared" si="3"/>
        <v>7474</v>
      </c>
      <c r="K25" t="s">
        <v>2</v>
      </c>
      <c r="L25" s="8">
        <f t="shared" ref="L25:Q25" si="4">SUM(L12:L23)</f>
        <v>0</v>
      </c>
      <c r="M25" s="8">
        <f t="shared" si="4"/>
        <v>86674.66</v>
      </c>
      <c r="N25" s="8">
        <f t="shared" si="4"/>
        <v>33922.39</v>
      </c>
      <c r="O25" s="8">
        <f t="shared" si="4"/>
        <v>36669.670000000006</v>
      </c>
      <c r="P25" s="8">
        <f t="shared" si="4"/>
        <v>93932.590000000011</v>
      </c>
      <c r="Q25" s="8">
        <f t="shared" si="4"/>
        <v>251199.31</v>
      </c>
      <c r="T25" s="6"/>
    </row>
    <row r="26" spans="1:20" ht="13.5" thickTop="1"/>
    <row r="27" spans="1:20" ht="13.5" thickBot="1">
      <c r="C27" s="14">
        <f>+C25/H25</f>
        <v>0</v>
      </c>
      <c r="D27" s="14">
        <f>+D25/H25</f>
        <v>0.35094995986085092</v>
      </c>
      <c r="E27" s="14">
        <f>+E25/H25</f>
        <v>0.13674070109713674</v>
      </c>
      <c r="F27" s="14">
        <f>+F25/H25</f>
        <v>0.14450093658014451</v>
      </c>
      <c r="G27" s="14">
        <f>+G25/H25</f>
        <v>0.3678084024618678</v>
      </c>
      <c r="H27" s="14">
        <f>SUM(C27:G27)</f>
        <v>1</v>
      </c>
      <c r="L27" s="14">
        <f>+L25/Q25</f>
        <v>0</v>
      </c>
      <c r="M27" s="14">
        <f>+M25/Q25</f>
        <v>0.34504338407617441</v>
      </c>
      <c r="N27" s="14">
        <f>+N25/Q25</f>
        <v>0.13504173239966305</v>
      </c>
      <c r="O27" s="14">
        <f>+O25/Q25</f>
        <v>0.14597838664445378</v>
      </c>
      <c r="P27" s="14">
        <f>+P25/Q25</f>
        <v>0.37393649687970881</v>
      </c>
      <c r="Q27" s="14">
        <f>SUM(L27:P27)</f>
        <v>1</v>
      </c>
      <c r="T27" s="6"/>
    </row>
    <row r="28" spans="1:20" ht="13.5" thickTop="1"/>
    <row r="29" spans="1:20" ht="13.5" thickBot="1">
      <c r="K29" t="s">
        <v>501</v>
      </c>
      <c r="L29" s="14">
        <f>+L25/SUM(L25:N25)</f>
        <v>0</v>
      </c>
      <c r="M29" s="14">
        <f>+M25/SUM(L25:N25)</f>
        <v>0.71871293700799477</v>
      </c>
      <c r="N29" s="14">
        <f>1-L29-M29</f>
        <v>0.28128706299200523</v>
      </c>
    </row>
    <row r="30" spans="1:20" ht="13.5" thickTop="1"/>
    <row r="31" spans="1:20">
      <c r="A31" s="127" t="s">
        <v>515</v>
      </c>
      <c r="J31" s="127" t="s">
        <v>514</v>
      </c>
    </row>
    <row r="32" spans="1:20">
      <c r="A32" s="127"/>
      <c r="J32" s="127"/>
    </row>
    <row r="33" spans="1:17" ht="13.5" thickBot="1">
      <c r="C33" s="4" t="s">
        <v>473</v>
      </c>
      <c r="D33" s="4" t="s">
        <v>471</v>
      </c>
      <c r="E33" s="4" t="s">
        <v>472</v>
      </c>
      <c r="F33" s="4" t="s">
        <v>109</v>
      </c>
      <c r="G33" s="4" t="s">
        <v>112</v>
      </c>
      <c r="H33" s="4" t="s">
        <v>2</v>
      </c>
      <c r="L33" s="4" t="s">
        <v>473</v>
      </c>
      <c r="M33" s="4" t="s">
        <v>471</v>
      </c>
      <c r="N33" s="4" t="s">
        <v>472</v>
      </c>
      <c r="O33" s="4" t="s">
        <v>109</v>
      </c>
      <c r="P33" s="4" t="s">
        <v>112</v>
      </c>
      <c r="Q33" s="4" t="s">
        <v>2</v>
      </c>
    </row>
    <row r="34" spans="1:17" ht="13.5" thickTop="1">
      <c r="C34" s="93"/>
      <c r="D34" s="93"/>
      <c r="E34" s="93"/>
      <c r="F34" s="93"/>
      <c r="G34" s="93"/>
      <c r="H34" s="93"/>
      <c r="L34" s="93"/>
      <c r="M34" s="93"/>
      <c r="N34" s="93"/>
      <c r="O34" s="93"/>
      <c r="P34" s="93"/>
      <c r="Q34" s="93"/>
    </row>
    <row r="35" spans="1:17">
      <c r="A35" t="str">
        <f t="shared" ref="A35:A46" si="5">+A12</f>
        <v>October</v>
      </c>
      <c r="C35" s="319">
        <v>856</v>
      </c>
      <c r="D35" s="319">
        <v>11</v>
      </c>
      <c r="E35" s="319">
        <v>0</v>
      </c>
      <c r="F35" s="319">
        <v>0</v>
      </c>
      <c r="G35" s="319">
        <v>0</v>
      </c>
      <c r="H35" s="122">
        <f t="shared" ref="H35:H46" si="6">SUM(C35:G35)</f>
        <v>867</v>
      </c>
      <c r="J35" t="str">
        <f t="shared" ref="J35:J46" si="7">+A35</f>
        <v>October</v>
      </c>
      <c r="L35" s="318">
        <v>31466.560000000001</v>
      </c>
      <c r="M35" s="318">
        <v>404.36</v>
      </c>
      <c r="N35" s="318">
        <v>0</v>
      </c>
      <c r="O35" s="318">
        <v>0</v>
      </c>
      <c r="P35" s="318">
        <v>0</v>
      </c>
      <c r="Q35" s="6">
        <f t="shared" ref="Q35:Q46" si="8">SUM(L35:P35)</f>
        <v>31870.920000000002</v>
      </c>
    </row>
    <row r="36" spans="1:17">
      <c r="A36" t="str">
        <f t="shared" si="5"/>
        <v>November</v>
      </c>
      <c r="C36" s="319">
        <v>801</v>
      </c>
      <c r="D36" s="319">
        <v>10</v>
      </c>
      <c r="E36" s="319">
        <v>0</v>
      </c>
      <c r="F36" s="319">
        <v>7</v>
      </c>
      <c r="G36" s="319">
        <v>0</v>
      </c>
      <c r="H36" s="122">
        <f t="shared" si="6"/>
        <v>818</v>
      </c>
      <c r="J36" t="str">
        <f t="shared" si="7"/>
        <v>November</v>
      </c>
      <c r="L36" s="318">
        <v>29444.76</v>
      </c>
      <c r="M36" s="318">
        <v>367.6</v>
      </c>
      <c r="N36" s="318">
        <v>0</v>
      </c>
      <c r="O36" s="318">
        <v>0</v>
      </c>
      <c r="P36" s="318">
        <v>0</v>
      </c>
      <c r="Q36" s="6">
        <f t="shared" si="8"/>
        <v>29812.359999999997</v>
      </c>
    </row>
    <row r="37" spans="1:17">
      <c r="A37" t="str">
        <f t="shared" si="5"/>
        <v>December</v>
      </c>
      <c r="C37" s="236">
        <v>809</v>
      </c>
      <c r="D37" s="236">
        <v>10</v>
      </c>
      <c r="E37" s="236">
        <v>2</v>
      </c>
      <c r="F37" s="236">
        <v>2</v>
      </c>
      <c r="G37" s="236">
        <v>5</v>
      </c>
      <c r="H37" s="122">
        <f t="shared" si="6"/>
        <v>828</v>
      </c>
      <c r="J37" t="str">
        <f t="shared" si="7"/>
        <v>December</v>
      </c>
      <c r="L37" s="320">
        <v>29738.84</v>
      </c>
      <c r="M37" s="320">
        <v>367.6</v>
      </c>
      <c r="N37" s="320">
        <v>73.52</v>
      </c>
      <c r="O37" s="320">
        <v>73.52</v>
      </c>
      <c r="P37" s="320">
        <v>183.8</v>
      </c>
      <c r="Q37" s="6">
        <f t="shared" si="8"/>
        <v>30437.279999999999</v>
      </c>
    </row>
    <row r="38" spans="1:17">
      <c r="A38" t="str">
        <f t="shared" si="5"/>
        <v>January</v>
      </c>
      <c r="C38" s="319">
        <v>719</v>
      </c>
      <c r="D38" s="319">
        <v>4</v>
      </c>
      <c r="E38" s="319">
        <v>0</v>
      </c>
      <c r="F38" s="319">
        <v>0</v>
      </c>
      <c r="G38" s="319">
        <v>0</v>
      </c>
      <c r="H38" s="122">
        <f t="shared" si="6"/>
        <v>723</v>
      </c>
      <c r="J38" t="str">
        <f t="shared" si="7"/>
        <v>January</v>
      </c>
      <c r="L38" s="318">
        <v>26430.44</v>
      </c>
      <c r="M38" s="318">
        <v>147.04</v>
      </c>
      <c r="N38" s="318">
        <v>0</v>
      </c>
      <c r="O38" s="318">
        <v>0</v>
      </c>
      <c r="P38" s="318">
        <v>0</v>
      </c>
      <c r="Q38" s="6">
        <f t="shared" si="8"/>
        <v>26577.48</v>
      </c>
    </row>
    <row r="39" spans="1:17">
      <c r="A39" t="str">
        <f t="shared" si="5"/>
        <v>February</v>
      </c>
      <c r="C39" s="319">
        <v>636</v>
      </c>
      <c r="D39" s="319">
        <v>5</v>
      </c>
      <c r="E39" s="319">
        <v>0</v>
      </c>
      <c r="F39" s="319">
        <v>0</v>
      </c>
      <c r="G39" s="319">
        <v>0</v>
      </c>
      <c r="H39" s="122">
        <f t="shared" si="6"/>
        <v>641</v>
      </c>
      <c r="J39" t="str">
        <f t="shared" si="7"/>
        <v>February</v>
      </c>
      <c r="L39" s="318">
        <v>24034.44</v>
      </c>
      <c r="M39" s="318">
        <v>188.95</v>
      </c>
      <c r="N39" s="318">
        <v>0</v>
      </c>
      <c r="O39" s="318">
        <v>0</v>
      </c>
      <c r="P39" s="318">
        <v>0</v>
      </c>
      <c r="Q39" s="6">
        <f t="shared" si="8"/>
        <v>24223.39</v>
      </c>
    </row>
    <row r="40" spans="1:17">
      <c r="A40" t="str">
        <f t="shared" si="5"/>
        <v>March</v>
      </c>
      <c r="C40" s="319">
        <v>804</v>
      </c>
      <c r="D40" s="319">
        <v>11</v>
      </c>
      <c r="E40" s="319">
        <v>4</v>
      </c>
      <c r="F40" s="319">
        <v>2</v>
      </c>
      <c r="G40" s="319">
        <v>10</v>
      </c>
      <c r="H40" s="122">
        <f t="shared" si="6"/>
        <v>831</v>
      </c>
      <c r="J40" t="str">
        <f t="shared" si="7"/>
        <v>March</v>
      </c>
      <c r="L40" s="318">
        <v>30383.16</v>
      </c>
      <c r="M40" s="318">
        <v>415.69</v>
      </c>
      <c r="N40" s="318">
        <v>151.16</v>
      </c>
      <c r="O40" s="318">
        <v>75.58</v>
      </c>
      <c r="P40" s="318">
        <v>377.9</v>
      </c>
      <c r="Q40" s="6">
        <f t="shared" si="8"/>
        <v>31403.49</v>
      </c>
    </row>
    <row r="41" spans="1:17">
      <c r="A41" t="str">
        <f t="shared" si="5"/>
        <v>April</v>
      </c>
      <c r="C41" s="319">
        <v>798</v>
      </c>
      <c r="D41" s="319">
        <v>6</v>
      </c>
      <c r="E41" s="319">
        <v>1</v>
      </c>
      <c r="F41" s="319">
        <v>0</v>
      </c>
      <c r="G41" s="319">
        <v>15</v>
      </c>
      <c r="H41" s="122">
        <f t="shared" si="6"/>
        <v>820</v>
      </c>
      <c r="J41" t="str">
        <f t="shared" si="7"/>
        <v>April</v>
      </c>
      <c r="L41" s="318">
        <v>30156.42</v>
      </c>
      <c r="M41" s="318">
        <v>226.74</v>
      </c>
      <c r="N41" s="318">
        <v>37.79</v>
      </c>
      <c r="O41" s="318">
        <v>0</v>
      </c>
      <c r="P41" s="318">
        <v>566.85</v>
      </c>
      <c r="Q41" s="6">
        <f t="shared" si="8"/>
        <v>30987.8</v>
      </c>
    </row>
    <row r="42" spans="1:17">
      <c r="A42" t="str">
        <f t="shared" si="5"/>
        <v>May</v>
      </c>
      <c r="C42" s="319">
        <v>962</v>
      </c>
      <c r="D42" s="319">
        <v>10</v>
      </c>
      <c r="E42" s="319">
        <v>0</v>
      </c>
      <c r="F42" s="319">
        <v>0</v>
      </c>
      <c r="G42" s="319">
        <v>0</v>
      </c>
      <c r="H42" s="122">
        <f t="shared" si="6"/>
        <v>972</v>
      </c>
      <c r="J42" t="str">
        <f t="shared" si="7"/>
        <v>May</v>
      </c>
      <c r="L42" s="318">
        <v>36353.980000000003</v>
      </c>
      <c r="M42" s="318">
        <v>377.9</v>
      </c>
      <c r="N42" s="318">
        <v>0</v>
      </c>
      <c r="O42" s="318">
        <v>0</v>
      </c>
      <c r="P42" s="318">
        <v>0</v>
      </c>
      <c r="Q42" s="6">
        <f t="shared" si="8"/>
        <v>36731.880000000005</v>
      </c>
    </row>
    <row r="43" spans="1:17">
      <c r="A43" t="str">
        <f t="shared" si="5"/>
        <v>June</v>
      </c>
      <c r="C43" s="319">
        <v>1215</v>
      </c>
      <c r="D43" s="319">
        <v>8</v>
      </c>
      <c r="E43" s="319">
        <v>0</v>
      </c>
      <c r="F43" s="319">
        <v>0</v>
      </c>
      <c r="G43" s="319">
        <v>0</v>
      </c>
      <c r="H43" s="122">
        <f t="shared" si="6"/>
        <v>1223</v>
      </c>
      <c r="J43" t="str">
        <f t="shared" si="7"/>
        <v>June</v>
      </c>
      <c r="L43" s="318">
        <v>45914.85</v>
      </c>
      <c r="M43" s="318">
        <v>302.32</v>
      </c>
      <c r="N43" s="318">
        <v>0</v>
      </c>
      <c r="O43" s="318">
        <v>0</v>
      </c>
      <c r="P43" s="318">
        <v>0</v>
      </c>
      <c r="Q43" s="6">
        <f t="shared" si="8"/>
        <v>46217.17</v>
      </c>
    </row>
    <row r="44" spans="1:17">
      <c r="A44" t="str">
        <f t="shared" si="5"/>
        <v>July</v>
      </c>
      <c r="C44" s="319">
        <v>1202</v>
      </c>
      <c r="D44" s="319">
        <v>15</v>
      </c>
      <c r="E44" s="319">
        <v>0</v>
      </c>
      <c r="F44" s="319">
        <v>0</v>
      </c>
      <c r="G44" s="319">
        <v>0</v>
      </c>
      <c r="H44" s="122">
        <f t="shared" si="6"/>
        <v>1217</v>
      </c>
      <c r="J44" t="str">
        <f t="shared" si="7"/>
        <v>July</v>
      </c>
      <c r="L44" s="318">
        <v>45423.58</v>
      </c>
      <c r="M44" s="318">
        <v>566.85</v>
      </c>
      <c r="N44" s="318">
        <v>0</v>
      </c>
      <c r="O44" s="318">
        <v>0</v>
      </c>
      <c r="P44" s="318">
        <v>0</v>
      </c>
      <c r="Q44" s="6">
        <f t="shared" si="8"/>
        <v>45990.43</v>
      </c>
    </row>
    <row r="45" spans="1:17">
      <c r="A45" t="str">
        <f t="shared" si="5"/>
        <v>August</v>
      </c>
      <c r="C45" s="319">
        <v>1297</v>
      </c>
      <c r="D45" s="319">
        <v>15</v>
      </c>
      <c r="E45" s="319">
        <v>0</v>
      </c>
      <c r="F45" s="319">
        <v>0</v>
      </c>
      <c r="G45" s="319">
        <v>0</v>
      </c>
      <c r="H45" s="122">
        <f t="shared" si="6"/>
        <v>1312</v>
      </c>
      <c r="J45" t="str">
        <f t="shared" si="7"/>
        <v>August</v>
      </c>
      <c r="L45" s="318">
        <v>49013.63</v>
      </c>
      <c r="M45" s="318">
        <v>566.85</v>
      </c>
      <c r="N45" s="318">
        <v>0</v>
      </c>
      <c r="O45" s="318">
        <v>0</v>
      </c>
      <c r="P45" s="318">
        <v>0</v>
      </c>
      <c r="Q45" s="6">
        <f t="shared" si="8"/>
        <v>49580.479999999996</v>
      </c>
    </row>
    <row r="46" spans="1:17" ht="13.5" thickBot="1">
      <c r="A46" t="str">
        <f t="shared" si="5"/>
        <v>September</v>
      </c>
      <c r="C46" s="317">
        <v>1138</v>
      </c>
      <c r="D46" s="317">
        <v>11</v>
      </c>
      <c r="E46" s="317">
        <v>0</v>
      </c>
      <c r="F46" s="317">
        <v>0</v>
      </c>
      <c r="G46" s="317">
        <v>0</v>
      </c>
      <c r="H46" s="174">
        <f t="shared" si="6"/>
        <v>1149</v>
      </c>
      <c r="J46" t="str">
        <f t="shared" si="7"/>
        <v>September</v>
      </c>
      <c r="L46" s="48">
        <v>43005.02</v>
      </c>
      <c r="M46" s="48">
        <v>415.69</v>
      </c>
      <c r="N46" s="48">
        <v>0</v>
      </c>
      <c r="O46" s="48">
        <v>0</v>
      </c>
      <c r="P46" s="48">
        <v>0</v>
      </c>
      <c r="Q46" s="7">
        <f t="shared" si="8"/>
        <v>43420.71</v>
      </c>
    </row>
    <row r="47" spans="1:17">
      <c r="C47" s="122"/>
      <c r="D47" s="122"/>
      <c r="E47" s="122"/>
      <c r="F47" s="122"/>
      <c r="G47" s="122"/>
      <c r="H47" s="122"/>
      <c r="L47" s="6"/>
      <c r="M47" s="6"/>
      <c r="N47" s="6"/>
      <c r="O47" s="6"/>
      <c r="P47" s="6"/>
      <c r="Q47" s="6"/>
    </row>
    <row r="48" spans="1:17" ht="13.5" thickBot="1">
      <c r="B48" t="s">
        <v>2</v>
      </c>
      <c r="C48" s="165">
        <f t="shared" ref="C48:H48" si="9">SUM(C35:C46)</f>
        <v>11237</v>
      </c>
      <c r="D48" s="165">
        <f t="shared" si="9"/>
        <v>116</v>
      </c>
      <c r="E48" s="165">
        <f t="shared" si="9"/>
        <v>7</v>
      </c>
      <c r="F48" s="165">
        <f t="shared" si="9"/>
        <v>11</v>
      </c>
      <c r="G48" s="165">
        <f t="shared" si="9"/>
        <v>30</v>
      </c>
      <c r="H48" s="165">
        <f t="shared" si="9"/>
        <v>11401</v>
      </c>
      <c r="K48" t="s">
        <v>2</v>
      </c>
      <c r="L48" s="8">
        <f t="shared" ref="L48:Q48" si="10">SUM(L35:L46)</f>
        <v>421365.68000000005</v>
      </c>
      <c r="M48" s="8">
        <f t="shared" si="10"/>
        <v>4347.59</v>
      </c>
      <c r="N48" s="8">
        <f t="shared" si="10"/>
        <v>262.47000000000003</v>
      </c>
      <c r="O48" s="8">
        <f t="shared" si="10"/>
        <v>149.1</v>
      </c>
      <c r="P48" s="8">
        <f t="shared" si="10"/>
        <v>1128.5500000000002</v>
      </c>
      <c r="Q48" s="8">
        <f t="shared" si="10"/>
        <v>427253.38999999996</v>
      </c>
    </row>
    <row r="49" spans="1:19" ht="13.5" thickTop="1"/>
    <row r="50" spans="1:19" ht="13.5" thickBot="1">
      <c r="C50" s="14">
        <f>+C48/H48</f>
        <v>0.98561529690378036</v>
      </c>
      <c r="D50" s="14">
        <f>+D48/H48</f>
        <v>1.0174546092448031E-2</v>
      </c>
      <c r="E50" s="14">
        <f>+E48/H48</f>
        <v>6.1398122971669151E-4</v>
      </c>
      <c r="F50" s="14">
        <f>+F48/H48</f>
        <v>9.6482764669765812E-4</v>
      </c>
      <c r="G50" s="14">
        <f>+G48/H48</f>
        <v>2.6313481273572492E-3</v>
      </c>
      <c r="H50" s="14">
        <f>SUM(C50:G50)</f>
        <v>1</v>
      </c>
      <c r="L50" s="14">
        <f>+L48/Q48</f>
        <v>0.98621962952710596</v>
      </c>
      <c r="M50" s="14">
        <f>+M48/Q48</f>
        <v>1.0175671163194283E-2</v>
      </c>
      <c r="N50" s="14">
        <f>+N48/Q48</f>
        <v>6.143192918843781E-4</v>
      </c>
      <c r="O50" s="14">
        <f>+O48/Q48</f>
        <v>3.4897324044637774E-4</v>
      </c>
      <c r="P50" s="14">
        <f>+P48/Q48</f>
        <v>2.6414067773692803E-3</v>
      </c>
      <c r="Q50" s="14">
        <f>SUM(L50:P50)</f>
        <v>1.0000000000000002</v>
      </c>
    </row>
    <row r="51" spans="1:19" ht="13.5" thickTop="1"/>
    <row r="52" spans="1:19" ht="13.5" thickBot="1">
      <c r="K52" t="s">
        <v>501</v>
      </c>
      <c r="L52" s="14">
        <f>+L48/SUM(L48:N48)</f>
        <v>0.98917764659555496</v>
      </c>
      <c r="M52" s="14">
        <f>+M48/SUM(L48:N48)</f>
        <v>1.0206191554476787E-2</v>
      </c>
      <c r="N52" s="14">
        <f>1-L52-M52</f>
        <v>6.1616184996825252E-4</v>
      </c>
    </row>
    <row r="53" spans="1:19" ht="13.5" thickTop="1"/>
    <row r="54" spans="1:19">
      <c r="A54" s="127" t="s">
        <v>764</v>
      </c>
      <c r="J54" s="127" t="s">
        <v>763</v>
      </c>
    </row>
    <row r="55" spans="1:19">
      <c r="A55" s="127"/>
      <c r="J55" s="127"/>
    </row>
    <row r="56" spans="1:19" ht="13.5" thickBot="1">
      <c r="C56" s="4" t="s">
        <v>473</v>
      </c>
      <c r="D56" s="4" t="s">
        <v>471</v>
      </c>
      <c r="E56" s="4" t="s">
        <v>472</v>
      </c>
      <c r="F56" s="4" t="s">
        <v>109</v>
      </c>
      <c r="G56" s="4" t="s">
        <v>112</v>
      </c>
      <c r="H56" s="4" t="s">
        <v>2</v>
      </c>
      <c r="L56" s="4" t="s">
        <v>473</v>
      </c>
      <c r="M56" s="4" t="s">
        <v>471</v>
      </c>
      <c r="N56" s="4" t="s">
        <v>472</v>
      </c>
      <c r="O56" s="4" t="s">
        <v>109</v>
      </c>
      <c r="P56" s="4" t="s">
        <v>112</v>
      </c>
      <c r="Q56" s="4" t="s">
        <v>2</v>
      </c>
    </row>
    <row r="57" spans="1:19" ht="13.5" thickTop="1">
      <c r="C57" s="93"/>
      <c r="D57" s="93"/>
      <c r="E57" s="93"/>
      <c r="F57" s="93"/>
      <c r="G57" s="93"/>
      <c r="H57" s="93"/>
      <c r="L57" s="93"/>
      <c r="M57" s="93"/>
      <c r="N57" s="93"/>
      <c r="O57" s="93"/>
      <c r="P57" s="93"/>
      <c r="Q57" s="93"/>
    </row>
    <row r="58" spans="1:19">
      <c r="A58" t="str">
        <f t="shared" ref="A58:A69" si="11">+A35</f>
        <v>October</v>
      </c>
      <c r="C58" s="319">
        <v>27</v>
      </c>
      <c r="D58" s="319">
        <v>0</v>
      </c>
      <c r="E58" s="319">
        <v>0</v>
      </c>
      <c r="F58" s="319">
        <v>0</v>
      </c>
      <c r="G58" s="319">
        <v>0</v>
      </c>
      <c r="H58" s="122">
        <f t="shared" ref="H58:H69" si="12">SUM(C58:G58)</f>
        <v>27</v>
      </c>
      <c r="J58" t="str">
        <f t="shared" ref="J58:J69" si="13">+A58</f>
        <v>October</v>
      </c>
      <c r="L58" s="318">
        <v>0</v>
      </c>
      <c r="M58" s="318">
        <v>0</v>
      </c>
      <c r="N58" s="318">
        <v>0</v>
      </c>
      <c r="O58" s="318">
        <v>0</v>
      </c>
      <c r="P58" s="318">
        <v>0</v>
      </c>
      <c r="Q58" s="6">
        <f t="shared" ref="Q58:Q60" si="14">SUM(L58:P58)</f>
        <v>0</v>
      </c>
    </row>
    <row r="59" spans="1:19">
      <c r="A59" t="str">
        <f t="shared" si="11"/>
        <v>November</v>
      </c>
      <c r="C59" s="319">
        <v>36</v>
      </c>
      <c r="D59" s="319">
        <v>0</v>
      </c>
      <c r="E59" s="319">
        <v>0</v>
      </c>
      <c r="F59" s="319">
        <v>0</v>
      </c>
      <c r="G59" s="319">
        <v>0</v>
      </c>
      <c r="H59" s="122">
        <f t="shared" si="12"/>
        <v>36</v>
      </c>
      <c r="J59" t="str">
        <f t="shared" si="13"/>
        <v>November</v>
      </c>
      <c r="L59" s="318">
        <v>2162.25</v>
      </c>
      <c r="M59" s="318">
        <v>0</v>
      </c>
      <c r="N59" s="318">
        <v>0</v>
      </c>
      <c r="O59" s="318">
        <v>0</v>
      </c>
      <c r="P59" s="318">
        <v>0</v>
      </c>
      <c r="Q59" s="6">
        <f t="shared" si="14"/>
        <v>2162.25</v>
      </c>
      <c r="R59" s="318">
        <v>28.83</v>
      </c>
      <c r="S59" t="s">
        <v>521</v>
      </c>
    </row>
    <row r="60" spans="1:19">
      <c r="A60" t="str">
        <f t="shared" si="11"/>
        <v>December</v>
      </c>
      <c r="C60" s="236">
        <v>27</v>
      </c>
      <c r="D60" s="236">
        <v>0</v>
      </c>
      <c r="E60" s="236">
        <v>0</v>
      </c>
      <c r="F60" s="236">
        <v>0</v>
      </c>
      <c r="G60" s="236">
        <v>0</v>
      </c>
      <c r="H60" s="122">
        <f t="shared" si="12"/>
        <v>27</v>
      </c>
      <c r="J60" t="str">
        <f t="shared" si="13"/>
        <v>December</v>
      </c>
      <c r="L60" s="320">
        <v>2137.5</v>
      </c>
      <c r="M60" s="320">
        <v>0</v>
      </c>
      <c r="N60" s="320">
        <v>0</v>
      </c>
      <c r="O60" s="320">
        <v>0</v>
      </c>
      <c r="P60" s="320">
        <v>0</v>
      </c>
      <c r="Q60" s="82">
        <f t="shared" si="14"/>
        <v>2137.5</v>
      </c>
      <c r="R60" s="676">
        <v>28.5</v>
      </c>
      <c r="S60" t="s">
        <v>521</v>
      </c>
    </row>
    <row r="61" spans="1:19">
      <c r="A61" t="str">
        <f t="shared" si="11"/>
        <v>January</v>
      </c>
      <c r="C61" s="319">
        <v>36</v>
      </c>
      <c r="D61" s="319">
        <v>0</v>
      </c>
      <c r="E61" s="319">
        <v>0</v>
      </c>
      <c r="F61" s="319">
        <v>0</v>
      </c>
      <c r="G61" s="319">
        <v>0</v>
      </c>
      <c r="H61" s="122">
        <f t="shared" si="12"/>
        <v>36</v>
      </c>
      <c r="J61" t="str">
        <f t="shared" si="13"/>
        <v>January</v>
      </c>
      <c r="L61" s="318">
        <v>0</v>
      </c>
      <c r="M61" s="318">
        <v>0</v>
      </c>
      <c r="N61" s="318">
        <v>0</v>
      </c>
      <c r="O61" s="318">
        <v>0</v>
      </c>
      <c r="P61" s="318">
        <v>0</v>
      </c>
      <c r="Q61" s="6">
        <f t="shared" ref="Q61:Q69" si="15">SUM(L61:P61)</f>
        <v>0</v>
      </c>
    </row>
    <row r="62" spans="1:19">
      <c r="A62" t="str">
        <f t="shared" si="11"/>
        <v>February</v>
      </c>
      <c r="C62" s="319">
        <v>35</v>
      </c>
      <c r="D62" s="319">
        <v>0</v>
      </c>
      <c r="E62" s="319">
        <v>0</v>
      </c>
      <c r="F62" s="319">
        <v>0</v>
      </c>
      <c r="G62" s="319">
        <v>0</v>
      </c>
      <c r="H62" s="122">
        <f t="shared" si="12"/>
        <v>35</v>
      </c>
      <c r="J62" t="str">
        <f t="shared" si="13"/>
        <v>February</v>
      </c>
      <c r="L62" s="318">
        <v>0</v>
      </c>
      <c r="M62" s="318">
        <v>0</v>
      </c>
      <c r="N62" s="318">
        <v>0</v>
      </c>
      <c r="O62" s="318">
        <v>0</v>
      </c>
      <c r="P62" s="318">
        <v>0</v>
      </c>
      <c r="Q62" s="6">
        <f t="shared" si="15"/>
        <v>0</v>
      </c>
    </row>
    <row r="63" spans="1:19">
      <c r="A63" t="str">
        <f t="shared" si="11"/>
        <v>March</v>
      </c>
      <c r="C63" s="319">
        <v>48</v>
      </c>
      <c r="D63" s="319">
        <v>0</v>
      </c>
      <c r="E63" s="319">
        <v>0</v>
      </c>
      <c r="F63" s="319">
        <v>0</v>
      </c>
      <c r="G63" s="319">
        <v>0</v>
      </c>
      <c r="H63" s="122">
        <f t="shared" si="12"/>
        <v>48</v>
      </c>
      <c r="J63" t="str">
        <f t="shared" si="13"/>
        <v>March</v>
      </c>
      <c r="L63" s="318">
        <v>0</v>
      </c>
      <c r="M63" s="318">
        <v>0</v>
      </c>
      <c r="N63" s="318">
        <v>0</v>
      </c>
      <c r="O63" s="318">
        <v>0</v>
      </c>
      <c r="P63" s="318">
        <v>0</v>
      </c>
      <c r="Q63" s="6">
        <f t="shared" si="15"/>
        <v>0</v>
      </c>
    </row>
    <row r="64" spans="1:19">
      <c r="A64" t="str">
        <f t="shared" si="11"/>
        <v>April</v>
      </c>
      <c r="C64" s="319">
        <v>35</v>
      </c>
      <c r="D64" s="319">
        <v>0</v>
      </c>
      <c r="E64" s="319">
        <v>0</v>
      </c>
      <c r="F64" s="319">
        <v>0</v>
      </c>
      <c r="G64" s="319">
        <v>0</v>
      </c>
      <c r="H64" s="122">
        <f t="shared" si="12"/>
        <v>35</v>
      </c>
      <c r="J64" t="str">
        <f t="shared" si="13"/>
        <v>April</v>
      </c>
      <c r="L64" s="318">
        <v>0</v>
      </c>
      <c r="M64" s="318">
        <v>0</v>
      </c>
      <c r="N64" s="318">
        <v>0</v>
      </c>
      <c r="O64" s="318">
        <v>0</v>
      </c>
      <c r="P64" s="318">
        <v>0</v>
      </c>
      <c r="Q64" s="6">
        <f t="shared" si="15"/>
        <v>0</v>
      </c>
    </row>
    <row r="65" spans="1:19">
      <c r="A65" t="str">
        <f t="shared" si="11"/>
        <v>May</v>
      </c>
      <c r="C65" s="319">
        <v>37</v>
      </c>
      <c r="D65" s="319">
        <v>0</v>
      </c>
      <c r="E65" s="319">
        <v>0</v>
      </c>
      <c r="F65" s="319">
        <v>0</v>
      </c>
      <c r="G65" s="319">
        <v>0</v>
      </c>
      <c r="H65" s="122">
        <f t="shared" si="12"/>
        <v>37</v>
      </c>
      <c r="J65" t="str">
        <f t="shared" si="13"/>
        <v>May</v>
      </c>
      <c r="L65" s="318">
        <v>0</v>
      </c>
      <c r="M65" s="318">
        <v>0</v>
      </c>
      <c r="N65" s="318">
        <v>0</v>
      </c>
      <c r="O65" s="318">
        <v>0</v>
      </c>
      <c r="P65" s="318">
        <v>0</v>
      </c>
      <c r="Q65" s="6">
        <f t="shared" si="15"/>
        <v>0</v>
      </c>
    </row>
    <row r="66" spans="1:19">
      <c r="A66" t="str">
        <f t="shared" si="11"/>
        <v>June</v>
      </c>
      <c r="C66" s="319">
        <v>39</v>
      </c>
      <c r="D66" s="319">
        <v>0</v>
      </c>
      <c r="E66" s="319">
        <v>0</v>
      </c>
      <c r="F66" s="319">
        <v>0</v>
      </c>
      <c r="G66" s="319">
        <v>0</v>
      </c>
      <c r="H66" s="122">
        <f t="shared" si="12"/>
        <v>39</v>
      </c>
      <c r="J66" t="str">
        <f t="shared" si="13"/>
        <v>June</v>
      </c>
      <c r="L66" s="318">
        <v>0</v>
      </c>
      <c r="M66" s="318">
        <v>0</v>
      </c>
      <c r="N66" s="318">
        <v>0</v>
      </c>
      <c r="O66" s="318">
        <v>0</v>
      </c>
      <c r="P66" s="318">
        <v>0</v>
      </c>
      <c r="Q66" s="6">
        <f t="shared" si="15"/>
        <v>0</v>
      </c>
    </row>
    <row r="67" spans="1:19">
      <c r="A67" t="str">
        <f t="shared" si="11"/>
        <v>July</v>
      </c>
      <c r="C67" s="319">
        <v>42</v>
      </c>
      <c r="D67" s="319">
        <v>0</v>
      </c>
      <c r="E67" s="319">
        <v>0</v>
      </c>
      <c r="F67" s="319">
        <v>0</v>
      </c>
      <c r="G67" s="319">
        <v>0</v>
      </c>
      <c r="H67" s="122">
        <f t="shared" si="12"/>
        <v>42</v>
      </c>
      <c r="J67" t="str">
        <f t="shared" si="13"/>
        <v>July</v>
      </c>
      <c r="L67" s="318">
        <v>2030.6</v>
      </c>
      <c r="M67" s="318">
        <v>0</v>
      </c>
      <c r="N67" s="318">
        <v>0</v>
      </c>
      <c r="O67" s="318">
        <v>0</v>
      </c>
      <c r="P67" s="318">
        <v>0</v>
      </c>
      <c r="Q67" s="6">
        <f t="shared" si="15"/>
        <v>2030.6</v>
      </c>
      <c r="R67" s="728">
        <v>31</v>
      </c>
      <c r="S67" t="s">
        <v>521</v>
      </c>
    </row>
    <row r="68" spans="1:19">
      <c r="A68" t="str">
        <f t="shared" si="11"/>
        <v>August</v>
      </c>
      <c r="C68" s="319">
        <v>57</v>
      </c>
      <c r="D68" s="319">
        <v>0</v>
      </c>
      <c r="E68" s="319">
        <v>0</v>
      </c>
      <c r="F68" s="319">
        <v>0</v>
      </c>
      <c r="G68" s="319">
        <v>0</v>
      </c>
      <c r="H68" s="122">
        <f t="shared" si="12"/>
        <v>57</v>
      </c>
      <c r="J68" t="str">
        <f t="shared" si="13"/>
        <v>August</v>
      </c>
      <c r="L68" s="318">
        <v>0</v>
      </c>
      <c r="M68" s="318">
        <v>0</v>
      </c>
      <c r="N68" s="318">
        <v>0</v>
      </c>
      <c r="O68" s="318">
        <v>0</v>
      </c>
      <c r="P68" s="318">
        <v>0</v>
      </c>
      <c r="Q68" s="6">
        <f t="shared" si="15"/>
        <v>0</v>
      </c>
      <c r="R68" s="318"/>
    </row>
    <row r="69" spans="1:19" ht="13.5" thickBot="1">
      <c r="A69" t="str">
        <f t="shared" si="11"/>
        <v>September</v>
      </c>
      <c r="C69" s="317">
        <v>32</v>
      </c>
      <c r="D69" s="317">
        <v>0</v>
      </c>
      <c r="E69" s="317">
        <v>0</v>
      </c>
      <c r="F69" s="317">
        <v>0</v>
      </c>
      <c r="G69" s="317">
        <v>0</v>
      </c>
      <c r="H69" s="174">
        <f t="shared" si="12"/>
        <v>32</v>
      </c>
      <c r="J69" t="str">
        <f t="shared" si="13"/>
        <v>September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7">
        <f t="shared" si="15"/>
        <v>0</v>
      </c>
      <c r="R69" s="676"/>
    </row>
    <row r="70" spans="1:19">
      <c r="C70" s="122"/>
      <c r="D70" s="122"/>
      <c r="E70" s="122"/>
      <c r="F70" s="122"/>
      <c r="G70" s="122"/>
      <c r="H70" s="122"/>
      <c r="L70" s="6"/>
      <c r="M70" s="6"/>
      <c r="N70" s="6"/>
      <c r="O70" s="6"/>
      <c r="P70" s="6"/>
      <c r="Q70" s="6"/>
    </row>
    <row r="71" spans="1:19" ht="13.5" thickBot="1">
      <c r="B71" t="s">
        <v>2</v>
      </c>
      <c r="C71" s="165">
        <f t="shared" ref="C71:H71" si="16">SUM(C58:C69)</f>
        <v>451</v>
      </c>
      <c r="D71" s="165">
        <f t="shared" si="16"/>
        <v>0</v>
      </c>
      <c r="E71" s="165">
        <f t="shared" si="16"/>
        <v>0</v>
      </c>
      <c r="F71" s="165">
        <f t="shared" si="16"/>
        <v>0</v>
      </c>
      <c r="G71" s="165">
        <f t="shared" si="16"/>
        <v>0</v>
      </c>
      <c r="H71" s="165">
        <f t="shared" si="16"/>
        <v>451</v>
      </c>
      <c r="K71" t="s">
        <v>2</v>
      </c>
      <c r="L71" s="8">
        <f t="shared" ref="L71:Q71" si="17">SUM(L58:L69)</f>
        <v>6330.35</v>
      </c>
      <c r="M71" s="8">
        <f t="shared" si="17"/>
        <v>0</v>
      </c>
      <c r="N71" s="8">
        <f t="shared" si="17"/>
        <v>0</v>
      </c>
      <c r="O71" s="8">
        <f t="shared" si="17"/>
        <v>0</v>
      </c>
      <c r="P71" s="8">
        <f t="shared" si="17"/>
        <v>0</v>
      </c>
      <c r="Q71" s="8">
        <f t="shared" si="17"/>
        <v>6330.35</v>
      </c>
    </row>
    <row r="72" spans="1:19" ht="13.5" thickTop="1"/>
    <row r="73" spans="1:19" ht="13.5" thickBot="1">
      <c r="C73" s="14">
        <f>+C71/H71</f>
        <v>1</v>
      </c>
      <c r="D73" s="14">
        <f>+D71/H71</f>
        <v>0</v>
      </c>
      <c r="E73" s="14">
        <f>+E71/H71</f>
        <v>0</v>
      </c>
      <c r="F73" s="14">
        <f>+F71/H71</f>
        <v>0</v>
      </c>
      <c r="G73" s="14">
        <f>+G71/H71</f>
        <v>0</v>
      </c>
      <c r="H73" s="14">
        <f>SUM(C73:G73)</f>
        <v>1</v>
      </c>
      <c r="L73" s="14">
        <f>+L71/Q71</f>
        <v>1</v>
      </c>
      <c r="M73" s="14">
        <f>+M71/Q71</f>
        <v>0</v>
      </c>
      <c r="N73" s="14">
        <f>+N71/Q71</f>
        <v>0</v>
      </c>
      <c r="O73" s="14">
        <f>+O71/Q71</f>
        <v>0</v>
      </c>
      <c r="P73" s="14">
        <f>+P71/Q71</f>
        <v>0</v>
      </c>
      <c r="Q73" s="14">
        <f>SUM(L73:P73)</f>
        <v>1</v>
      </c>
    </row>
    <row r="74" spans="1:19" ht="13.5" thickTop="1"/>
    <row r="75" spans="1:19" ht="13.5" thickBot="1">
      <c r="K75" t="s">
        <v>501</v>
      </c>
      <c r="L75" s="14">
        <f>+L71/SUM(L71:N71)</f>
        <v>1</v>
      </c>
      <c r="M75" s="14">
        <f>+M71/SUM(L71:N71)</f>
        <v>0</v>
      </c>
      <c r="N75" s="14">
        <f>1-L75-M75</f>
        <v>0</v>
      </c>
    </row>
    <row r="76" spans="1:19" ht="13.5" thickTop="1"/>
    <row r="78" spans="1:19">
      <c r="A78" s="127" t="s">
        <v>762</v>
      </c>
      <c r="J78" s="127" t="s">
        <v>761</v>
      </c>
    </row>
    <row r="79" spans="1:19">
      <c r="A79" s="127"/>
      <c r="J79" s="127"/>
    </row>
    <row r="80" spans="1:19" ht="13.5" thickBot="1">
      <c r="C80" s="4" t="s">
        <v>473</v>
      </c>
      <c r="D80" s="4" t="s">
        <v>471</v>
      </c>
      <c r="E80" s="4" t="s">
        <v>472</v>
      </c>
      <c r="F80" s="4" t="s">
        <v>109</v>
      </c>
      <c r="G80" s="4" t="s">
        <v>112</v>
      </c>
      <c r="H80" s="4" t="s">
        <v>2</v>
      </c>
      <c r="L80" s="4" t="s">
        <v>473</v>
      </c>
      <c r="M80" s="4" t="s">
        <v>471</v>
      </c>
      <c r="N80" s="4" t="s">
        <v>472</v>
      </c>
      <c r="O80" s="4" t="s">
        <v>109</v>
      </c>
      <c r="P80" s="4" t="s">
        <v>112</v>
      </c>
      <c r="Q80" s="4" t="s">
        <v>2</v>
      </c>
    </row>
    <row r="81" spans="1:17" ht="13.5" thickTop="1">
      <c r="C81" s="93"/>
      <c r="D81" s="93"/>
      <c r="E81" s="93"/>
      <c r="F81" s="93"/>
      <c r="G81" s="93"/>
      <c r="H81" s="93"/>
      <c r="L81" s="93"/>
      <c r="M81" s="93"/>
      <c r="N81" s="93"/>
      <c r="O81" s="93"/>
      <c r="P81" s="93"/>
      <c r="Q81" s="93"/>
    </row>
    <row r="82" spans="1:17">
      <c r="A82" t="str">
        <f t="shared" ref="A82:A93" si="18">A58</f>
        <v>October</v>
      </c>
      <c r="C82" s="319">
        <v>38</v>
      </c>
      <c r="D82" s="319">
        <v>0</v>
      </c>
      <c r="E82" s="319">
        <v>0</v>
      </c>
      <c r="F82" s="319">
        <v>0</v>
      </c>
      <c r="G82" s="319">
        <v>0</v>
      </c>
      <c r="H82" s="122">
        <f t="shared" ref="H82:H93" si="19">SUM(C82:G82)</f>
        <v>38</v>
      </c>
      <c r="J82" t="str">
        <f t="shared" ref="J82:J93" si="20">+A82</f>
        <v>October</v>
      </c>
      <c r="L82" s="318">
        <v>0</v>
      </c>
      <c r="M82" s="318">
        <v>0</v>
      </c>
      <c r="N82" s="318">
        <v>0</v>
      </c>
      <c r="O82" s="318">
        <v>0</v>
      </c>
      <c r="P82" s="318">
        <v>0</v>
      </c>
      <c r="Q82" s="6">
        <f t="shared" ref="Q82:Q93" si="21">SUM(L82:P82)</f>
        <v>0</v>
      </c>
    </row>
    <row r="83" spans="1:17">
      <c r="A83" t="str">
        <f t="shared" si="18"/>
        <v>November</v>
      </c>
      <c r="C83" s="319">
        <v>20</v>
      </c>
      <c r="D83" s="319">
        <v>0</v>
      </c>
      <c r="E83" s="319">
        <v>0</v>
      </c>
      <c r="F83" s="319">
        <v>0</v>
      </c>
      <c r="G83" s="319">
        <v>0</v>
      </c>
      <c r="H83" s="122">
        <f t="shared" si="19"/>
        <v>20</v>
      </c>
      <c r="J83" t="str">
        <f t="shared" si="20"/>
        <v>November</v>
      </c>
      <c r="L83" s="318">
        <v>0</v>
      </c>
      <c r="M83" s="318">
        <v>0</v>
      </c>
      <c r="N83" s="318">
        <v>0</v>
      </c>
      <c r="O83" s="318">
        <v>0</v>
      </c>
      <c r="P83" s="318">
        <v>0</v>
      </c>
      <c r="Q83" s="6">
        <f t="shared" si="21"/>
        <v>0</v>
      </c>
    </row>
    <row r="84" spans="1:17">
      <c r="A84" t="str">
        <f t="shared" si="18"/>
        <v>December</v>
      </c>
      <c r="C84" s="236">
        <v>22</v>
      </c>
      <c r="D84" s="236">
        <v>0</v>
      </c>
      <c r="E84" s="236">
        <v>0</v>
      </c>
      <c r="F84" s="236">
        <v>0</v>
      </c>
      <c r="G84" s="236">
        <v>0</v>
      </c>
      <c r="H84" s="122">
        <f t="shared" si="19"/>
        <v>22</v>
      </c>
      <c r="J84" t="str">
        <f t="shared" si="20"/>
        <v>December</v>
      </c>
      <c r="L84" s="320">
        <v>0</v>
      </c>
      <c r="M84" s="320">
        <v>0</v>
      </c>
      <c r="N84" s="320">
        <v>0</v>
      </c>
      <c r="O84" s="320">
        <v>0</v>
      </c>
      <c r="P84" s="320">
        <v>0</v>
      </c>
      <c r="Q84" s="6">
        <f t="shared" si="21"/>
        <v>0</v>
      </c>
    </row>
    <row r="85" spans="1:17">
      <c r="A85" t="str">
        <f t="shared" si="18"/>
        <v>January</v>
      </c>
      <c r="C85" s="319">
        <v>14</v>
      </c>
      <c r="D85" s="319">
        <v>0</v>
      </c>
      <c r="E85" s="319">
        <v>0</v>
      </c>
      <c r="F85" s="319">
        <v>0</v>
      </c>
      <c r="G85" s="319">
        <v>0</v>
      </c>
      <c r="H85" s="122">
        <f t="shared" si="19"/>
        <v>14</v>
      </c>
      <c r="J85" t="str">
        <f t="shared" si="20"/>
        <v>January</v>
      </c>
      <c r="L85" s="318">
        <v>0</v>
      </c>
      <c r="M85" s="318">
        <v>0</v>
      </c>
      <c r="N85" s="318">
        <v>0</v>
      </c>
      <c r="O85" s="318">
        <v>0</v>
      </c>
      <c r="P85" s="318">
        <v>0</v>
      </c>
      <c r="Q85" s="6">
        <f t="shared" si="21"/>
        <v>0</v>
      </c>
    </row>
    <row r="86" spans="1:17">
      <c r="A86" t="str">
        <f t="shared" si="18"/>
        <v>February</v>
      </c>
      <c r="C86" s="319">
        <v>29</v>
      </c>
      <c r="D86" s="319">
        <v>0</v>
      </c>
      <c r="E86" s="319">
        <v>0</v>
      </c>
      <c r="F86" s="319">
        <v>0</v>
      </c>
      <c r="G86" s="319">
        <v>0</v>
      </c>
      <c r="H86" s="122">
        <f t="shared" si="19"/>
        <v>29</v>
      </c>
      <c r="J86" t="str">
        <f t="shared" si="20"/>
        <v>February</v>
      </c>
      <c r="L86" s="318">
        <v>0</v>
      </c>
      <c r="M86" s="318">
        <v>0</v>
      </c>
      <c r="N86" s="318">
        <v>0</v>
      </c>
      <c r="O86" s="318">
        <v>0</v>
      </c>
      <c r="P86" s="318">
        <v>0</v>
      </c>
      <c r="Q86" s="6">
        <f t="shared" si="21"/>
        <v>0</v>
      </c>
    </row>
    <row r="87" spans="1:17">
      <c r="A87" t="str">
        <f t="shared" si="18"/>
        <v>March</v>
      </c>
      <c r="C87" s="319">
        <v>34</v>
      </c>
      <c r="D87" s="319">
        <v>0</v>
      </c>
      <c r="E87" s="319">
        <v>0</v>
      </c>
      <c r="F87" s="319">
        <v>0</v>
      </c>
      <c r="G87" s="319">
        <v>0</v>
      </c>
      <c r="H87" s="122">
        <f t="shared" si="19"/>
        <v>34</v>
      </c>
      <c r="J87" t="str">
        <f t="shared" si="20"/>
        <v>March</v>
      </c>
      <c r="L87" s="318">
        <v>0</v>
      </c>
      <c r="M87" s="318">
        <v>0</v>
      </c>
      <c r="N87" s="318">
        <v>0</v>
      </c>
      <c r="O87" s="318">
        <v>0</v>
      </c>
      <c r="P87" s="318">
        <v>0</v>
      </c>
      <c r="Q87" s="6">
        <f t="shared" si="21"/>
        <v>0</v>
      </c>
    </row>
    <row r="88" spans="1:17">
      <c r="A88" t="str">
        <f t="shared" si="18"/>
        <v>April</v>
      </c>
      <c r="C88" s="319">
        <v>41</v>
      </c>
      <c r="D88" s="319">
        <v>0</v>
      </c>
      <c r="E88" s="319">
        <v>0</v>
      </c>
      <c r="F88" s="319">
        <v>0</v>
      </c>
      <c r="G88" s="319">
        <v>0</v>
      </c>
      <c r="H88" s="122">
        <f t="shared" si="19"/>
        <v>41</v>
      </c>
      <c r="J88" t="str">
        <f t="shared" si="20"/>
        <v>April</v>
      </c>
      <c r="L88" s="318">
        <v>0</v>
      </c>
      <c r="M88" s="318">
        <v>0</v>
      </c>
      <c r="N88" s="318">
        <v>0</v>
      </c>
      <c r="O88" s="318">
        <v>0</v>
      </c>
      <c r="P88" s="318">
        <v>0</v>
      </c>
      <c r="Q88" s="6">
        <f t="shared" si="21"/>
        <v>0</v>
      </c>
    </row>
    <row r="89" spans="1:17">
      <c r="A89" t="str">
        <f t="shared" si="18"/>
        <v>May</v>
      </c>
      <c r="C89" s="319">
        <v>40</v>
      </c>
      <c r="D89" s="319">
        <v>0</v>
      </c>
      <c r="E89" s="319">
        <v>0</v>
      </c>
      <c r="F89" s="319">
        <v>0</v>
      </c>
      <c r="G89" s="319">
        <v>0</v>
      </c>
      <c r="H89" s="122">
        <f t="shared" si="19"/>
        <v>40</v>
      </c>
      <c r="J89" t="str">
        <f t="shared" si="20"/>
        <v>May</v>
      </c>
      <c r="L89" s="318">
        <v>0</v>
      </c>
      <c r="M89" s="318">
        <v>0</v>
      </c>
      <c r="N89" s="318">
        <v>0</v>
      </c>
      <c r="O89" s="318">
        <v>0</v>
      </c>
      <c r="P89" s="318">
        <v>0</v>
      </c>
      <c r="Q89" s="6">
        <f t="shared" si="21"/>
        <v>0</v>
      </c>
    </row>
    <row r="90" spans="1:17">
      <c r="A90" t="str">
        <f t="shared" si="18"/>
        <v>June</v>
      </c>
      <c r="C90" s="319">
        <v>39</v>
      </c>
      <c r="D90" s="319">
        <v>0</v>
      </c>
      <c r="E90" s="319">
        <v>0</v>
      </c>
      <c r="F90" s="319">
        <v>0</v>
      </c>
      <c r="G90" s="319">
        <v>0</v>
      </c>
      <c r="H90" s="122">
        <f t="shared" si="19"/>
        <v>39</v>
      </c>
      <c r="J90" t="str">
        <f t="shared" si="20"/>
        <v>June</v>
      </c>
      <c r="L90" s="318">
        <v>0</v>
      </c>
      <c r="M90" s="318">
        <v>0</v>
      </c>
      <c r="N90" s="318">
        <v>0</v>
      </c>
      <c r="O90" s="318">
        <v>0</v>
      </c>
      <c r="P90" s="318">
        <v>0</v>
      </c>
      <c r="Q90" s="6">
        <f t="shared" si="21"/>
        <v>0</v>
      </c>
    </row>
    <row r="91" spans="1:17">
      <c r="A91" t="str">
        <f t="shared" si="18"/>
        <v>July</v>
      </c>
      <c r="C91" s="319">
        <v>70</v>
      </c>
      <c r="D91" s="319">
        <v>0</v>
      </c>
      <c r="E91" s="319">
        <v>0</v>
      </c>
      <c r="F91" s="319">
        <v>0</v>
      </c>
      <c r="G91" s="319">
        <v>0</v>
      </c>
      <c r="H91" s="122">
        <f t="shared" si="19"/>
        <v>70</v>
      </c>
      <c r="J91" t="str">
        <f t="shared" si="20"/>
        <v>July</v>
      </c>
      <c r="L91" s="318">
        <v>0</v>
      </c>
      <c r="M91" s="318">
        <v>0</v>
      </c>
      <c r="N91" s="318">
        <v>0</v>
      </c>
      <c r="O91" s="318">
        <v>0</v>
      </c>
      <c r="P91" s="318">
        <v>0</v>
      </c>
      <c r="Q91" s="6">
        <f t="shared" si="21"/>
        <v>0</v>
      </c>
    </row>
    <row r="92" spans="1:17">
      <c r="A92" t="str">
        <f t="shared" si="18"/>
        <v>August</v>
      </c>
      <c r="C92" s="319">
        <v>64</v>
      </c>
      <c r="D92" s="319">
        <v>0</v>
      </c>
      <c r="E92" s="319">
        <v>0</v>
      </c>
      <c r="F92" s="319">
        <v>0</v>
      </c>
      <c r="G92" s="319">
        <v>0</v>
      </c>
      <c r="H92" s="122">
        <f t="shared" si="19"/>
        <v>64</v>
      </c>
      <c r="J92" t="str">
        <f t="shared" si="20"/>
        <v>August</v>
      </c>
      <c r="L92" s="318">
        <v>0</v>
      </c>
      <c r="M92" s="318">
        <v>0</v>
      </c>
      <c r="N92" s="318">
        <v>0</v>
      </c>
      <c r="O92" s="318">
        <v>0</v>
      </c>
      <c r="P92" s="318">
        <v>0</v>
      </c>
      <c r="Q92" s="6">
        <f t="shared" si="21"/>
        <v>0</v>
      </c>
    </row>
    <row r="93" spans="1:17" ht="13.5" thickBot="1">
      <c r="A93" t="str">
        <f t="shared" si="18"/>
        <v>September</v>
      </c>
      <c r="C93" s="317">
        <v>61</v>
      </c>
      <c r="D93" s="317">
        <v>0</v>
      </c>
      <c r="E93" s="317">
        <v>0</v>
      </c>
      <c r="F93" s="317">
        <v>0</v>
      </c>
      <c r="G93" s="317">
        <v>0</v>
      </c>
      <c r="H93" s="174">
        <f t="shared" si="19"/>
        <v>61</v>
      </c>
      <c r="J93" t="str">
        <f t="shared" si="20"/>
        <v>September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7">
        <f t="shared" si="21"/>
        <v>0</v>
      </c>
    </row>
    <row r="94" spans="1:17">
      <c r="C94" s="122"/>
      <c r="D94" s="122"/>
      <c r="E94" s="122"/>
      <c r="F94" s="122"/>
      <c r="G94" s="122"/>
      <c r="H94" s="122"/>
      <c r="L94" s="6"/>
      <c r="M94" s="6"/>
      <c r="N94" s="6"/>
      <c r="O94" s="6"/>
      <c r="P94" s="6"/>
      <c r="Q94" s="6"/>
    </row>
    <row r="95" spans="1:17" ht="13.5" thickBot="1">
      <c r="B95" t="s">
        <v>2</v>
      </c>
      <c r="C95" s="165">
        <f t="shared" ref="C95:H95" si="22">SUM(C82:C93)</f>
        <v>472</v>
      </c>
      <c r="D95" s="165">
        <f t="shared" si="22"/>
        <v>0</v>
      </c>
      <c r="E95" s="165">
        <f t="shared" si="22"/>
        <v>0</v>
      </c>
      <c r="F95" s="165">
        <f t="shared" si="22"/>
        <v>0</v>
      </c>
      <c r="G95" s="165">
        <f t="shared" si="22"/>
        <v>0</v>
      </c>
      <c r="H95" s="165">
        <f t="shared" si="22"/>
        <v>472</v>
      </c>
      <c r="K95" t="s">
        <v>2</v>
      </c>
      <c r="L95" s="8">
        <f t="shared" ref="L95:Q95" si="23">SUM(L82:L93)</f>
        <v>0</v>
      </c>
      <c r="M95" s="8">
        <f t="shared" si="23"/>
        <v>0</v>
      </c>
      <c r="N95" s="8">
        <f t="shared" si="23"/>
        <v>0</v>
      </c>
      <c r="O95" s="8">
        <f t="shared" si="23"/>
        <v>0</v>
      </c>
      <c r="P95" s="8">
        <f t="shared" si="23"/>
        <v>0</v>
      </c>
      <c r="Q95" s="8">
        <f t="shared" si="23"/>
        <v>0</v>
      </c>
    </row>
    <row r="96" spans="1:17" ht="13.5" thickTop="1"/>
    <row r="97" spans="3:17" ht="13.5" thickBot="1">
      <c r="C97" s="14">
        <f>+C95/H95</f>
        <v>1</v>
      </c>
      <c r="D97" s="14">
        <f>+D95/H95</f>
        <v>0</v>
      </c>
      <c r="E97" s="14">
        <f>+E95/H95</f>
        <v>0</v>
      </c>
      <c r="F97" s="14">
        <f>+F95/H95</f>
        <v>0</v>
      </c>
      <c r="G97" s="14">
        <f>+G95/H95</f>
        <v>0</v>
      </c>
      <c r="H97" s="14">
        <f>SUM(C97:G97)</f>
        <v>1</v>
      </c>
      <c r="L97" s="14" t="e">
        <f>+L95/Q95</f>
        <v>#DIV/0!</v>
      </c>
      <c r="M97" s="14" t="e">
        <f>+M95/Q95</f>
        <v>#DIV/0!</v>
      </c>
      <c r="N97" s="14" t="e">
        <f>+N95/Q95</f>
        <v>#DIV/0!</v>
      </c>
      <c r="O97" s="14" t="e">
        <f>+O95/Q95</f>
        <v>#DIV/0!</v>
      </c>
      <c r="P97" s="14" t="e">
        <f>+P95/Q95</f>
        <v>#DIV/0!</v>
      </c>
      <c r="Q97" s="14" t="e">
        <f>SUM(L97:P97)</f>
        <v>#DIV/0!</v>
      </c>
    </row>
    <row r="98" spans="3:17" ht="13.5" thickTop="1"/>
    <row r="99" spans="3:17" ht="13.5" thickBot="1">
      <c r="H99" s="729">
        <v>81.55</v>
      </c>
      <c r="I99" t="s">
        <v>521</v>
      </c>
      <c r="K99" t="s">
        <v>501</v>
      </c>
      <c r="L99" s="14" t="e">
        <f>+L95/SUM(L95:N95)</f>
        <v>#DIV/0!</v>
      </c>
      <c r="M99" s="14" t="e">
        <f>+M95/SUM(L95:N95)</f>
        <v>#DIV/0!</v>
      </c>
      <c r="N99" s="14" t="e">
        <f>1-L99-M99</f>
        <v>#DIV/0!</v>
      </c>
    </row>
    <row r="100" spans="3:17" ht="13.5" thickTop="1"/>
  </sheetData>
  <pageMargins left="0.7" right="0.7" top="0.75" bottom="0.75" header="0.3" footer="0.3"/>
  <pageSetup scale="76" fitToHeight="0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V109"/>
  <sheetViews>
    <sheetView zoomScaleNormal="100" workbookViewId="0">
      <selection activeCell="G43" sqref="G43"/>
    </sheetView>
  </sheetViews>
  <sheetFormatPr defaultRowHeight="12.75"/>
  <cols>
    <col min="1" max="1" width="6" customWidth="1"/>
    <col min="2" max="2" width="27.140625" customWidth="1"/>
    <col min="3" max="3" width="12.140625" customWidth="1"/>
    <col min="4" max="4" width="12" customWidth="1"/>
    <col min="5" max="5" width="10.5703125" customWidth="1"/>
    <col min="6" max="6" width="13" customWidth="1"/>
    <col min="7" max="7" width="11.5703125" customWidth="1"/>
    <col min="8" max="8" width="12.28515625" customWidth="1"/>
    <col min="9" max="9" width="13" customWidth="1"/>
    <col min="10" max="11" width="11.7109375" customWidth="1"/>
    <col min="12" max="12" width="13.85546875" customWidth="1"/>
    <col min="15" max="15" width="10.42578125" customWidth="1"/>
    <col min="17" max="17" width="13.42578125" bestFit="1" customWidth="1"/>
    <col min="18" max="18" width="10.42578125" customWidth="1"/>
    <col min="19" max="19" width="11.85546875" customWidth="1"/>
    <col min="21" max="21" width="11.7109375" bestFit="1" customWidth="1"/>
  </cols>
  <sheetData>
    <row r="1" spans="1:22">
      <c r="A1" t="s">
        <v>0</v>
      </c>
      <c r="E1" s="156">
        <f>IF('Priceout-Chelan'!K79=0,0,'Priceout-Chelan'!K79)</f>
        <v>5.6599999999999998E-2</v>
      </c>
      <c r="H1" s="156">
        <f>IF('Priceout-Chelan'!N79=0,0,'Priceout-Chelan'!N79)</f>
        <v>0</v>
      </c>
      <c r="K1" s="155">
        <f>IF('Priceout-Okanogan'!K76=0,0,'Priceout-Okanogan'!K76)</f>
        <v>0</v>
      </c>
    </row>
    <row r="2" spans="1:22">
      <c r="D2" s="154"/>
    </row>
    <row r="3" spans="1:22">
      <c r="A3" t="s">
        <v>474</v>
      </c>
      <c r="C3" s="643" t="s">
        <v>1342</v>
      </c>
      <c r="D3" s="643" t="s">
        <v>689</v>
      </c>
    </row>
    <row r="4" spans="1:22">
      <c r="E4">
        <f>+E21/(D21-D15)</f>
        <v>5.6164552209807032E-2</v>
      </c>
      <c r="H4">
        <f ca="1">+H21/(G21-G15)</f>
        <v>0.24070319260682746</v>
      </c>
      <c r="K4">
        <f ca="1">+K21/(J21-J15)</f>
        <v>-0.14631339626653284</v>
      </c>
    </row>
    <row r="5" spans="1:22">
      <c r="A5" s="666" t="s">
        <v>1434</v>
      </c>
      <c r="F5" s="2" t="s">
        <v>473</v>
      </c>
      <c r="I5" s="2" t="s">
        <v>472</v>
      </c>
      <c r="L5" s="2" t="s">
        <v>471</v>
      </c>
    </row>
    <row r="6" spans="1:22" ht="13.5" thickBot="1">
      <c r="A6" s="1"/>
      <c r="C6" s="2" t="s">
        <v>88</v>
      </c>
      <c r="D6" s="2" t="s">
        <v>473</v>
      </c>
      <c r="E6" s="2" t="s">
        <v>97</v>
      </c>
      <c r="F6" s="2" t="s">
        <v>100</v>
      </c>
      <c r="G6" s="2" t="s">
        <v>472</v>
      </c>
      <c r="H6" s="2" t="s">
        <v>97</v>
      </c>
      <c r="I6" s="2" t="s">
        <v>100</v>
      </c>
      <c r="J6" s="2" t="s">
        <v>471</v>
      </c>
      <c r="K6" s="2" t="s">
        <v>97</v>
      </c>
      <c r="L6" s="2" t="s">
        <v>100</v>
      </c>
      <c r="Q6" s="784" t="s">
        <v>1116</v>
      </c>
      <c r="R6" s="784"/>
      <c r="S6" s="784"/>
      <c r="T6" s="784"/>
      <c r="U6" s="784"/>
      <c r="V6" s="784"/>
    </row>
    <row r="7" spans="1:22">
      <c r="C7" s="2" t="s">
        <v>96</v>
      </c>
      <c r="D7" s="2" t="s">
        <v>88</v>
      </c>
      <c r="E7" s="2" t="s">
        <v>98</v>
      </c>
      <c r="F7" s="2" t="s">
        <v>101</v>
      </c>
      <c r="G7" s="2" t="s">
        <v>88</v>
      </c>
      <c r="H7" s="2" t="s">
        <v>98</v>
      </c>
      <c r="I7" s="2" t="s">
        <v>101</v>
      </c>
      <c r="J7" s="2" t="s">
        <v>88</v>
      </c>
      <c r="K7" s="2" t="s">
        <v>98</v>
      </c>
      <c r="L7" s="2" t="s">
        <v>101</v>
      </c>
      <c r="Q7" t="s">
        <v>473</v>
      </c>
      <c r="S7" t="s">
        <v>472</v>
      </c>
      <c r="U7" t="s">
        <v>471</v>
      </c>
    </row>
    <row r="8" spans="1:22" ht="13.5" thickBot="1">
      <c r="C8" s="4" t="s">
        <v>95</v>
      </c>
      <c r="D8" s="4" t="s">
        <v>93</v>
      </c>
      <c r="E8" s="4" t="s">
        <v>99</v>
      </c>
      <c r="F8" s="4" t="s">
        <v>99</v>
      </c>
      <c r="G8" s="4" t="s">
        <v>93</v>
      </c>
      <c r="H8" s="4" t="s">
        <v>99</v>
      </c>
      <c r="I8" s="4" t="s">
        <v>99</v>
      </c>
      <c r="J8" s="4" t="s">
        <v>93</v>
      </c>
      <c r="K8" s="4" t="s">
        <v>99</v>
      </c>
      <c r="L8" s="4" t="s">
        <v>99</v>
      </c>
    </row>
    <row r="9" spans="1:22" ht="13.5" thickTop="1">
      <c r="D9" s="153"/>
      <c r="F9" s="152"/>
      <c r="I9" s="152"/>
    </row>
    <row r="10" spans="1:22">
      <c r="A10" t="s">
        <v>3</v>
      </c>
      <c r="D10" s="118"/>
      <c r="F10" s="144"/>
      <c r="I10" s="144"/>
    </row>
    <row r="11" spans="1:22">
      <c r="A11">
        <v>3100</v>
      </c>
      <c r="B11" t="s">
        <v>5</v>
      </c>
      <c r="C11" s="6">
        <f>'Results of Operations Staff '!N11</f>
        <v>2021399.1700000002</v>
      </c>
      <c r="D11" s="121">
        <f>+'Cost Allocations'!F11</f>
        <v>1567989.6826459537</v>
      </c>
      <c r="E11" s="6">
        <f>+IF(E1=0,+'Staff LG Total Chelan'!M21,'Priceout-Chelan'!J79-('Priceout-Chelan'!J69-'Priceout-Chelan'!E69))</f>
        <v>87725.000000000015</v>
      </c>
      <c r="F11" s="146">
        <f t="shared" ref="F11:F19" si="0">+D11+E11</f>
        <v>1655714.6826459537</v>
      </c>
      <c r="G11" s="6">
        <f>+'Cost Allocations'!I11</f>
        <v>115954.25250013998</v>
      </c>
      <c r="H11" s="6">
        <f ca="1">+IF(H1=0,+'Staff LG Total Douglas'!M21,'Priceout-Douglas'!J76-('Priceout-Douglas'!J66-'Priceout-Douglas'!E66))</f>
        <v>34219.525072295495</v>
      </c>
      <c r="I11" s="146">
        <f t="shared" ref="I11:I19" ca="1" si="1">+G11+H11</f>
        <v>150173.77757243547</v>
      </c>
      <c r="J11" s="6">
        <f>+'Cost Allocations'!L11</f>
        <v>337455.23485390667</v>
      </c>
      <c r="K11" s="6">
        <f ca="1">+IF(K1=0,+'Staff LG Total Okanogan'!M21,'Priceout-Okanogan'!J76-('Priceout-Okanogan'!J66-'Priceout-Okanogan'!E66))</f>
        <v>-65514.227977309543</v>
      </c>
      <c r="L11" s="6">
        <f t="shared" ref="L11:L19" ca="1" si="2">+J11+K11</f>
        <v>271941.00687659712</v>
      </c>
      <c r="O11" s="6">
        <f t="shared" ref="O11:O43" si="3">+C11-D11-G11-J11</f>
        <v>0</v>
      </c>
      <c r="Q11" s="56">
        <f>'Priceout-Chelan'!E32+'Priceout-Chelan'!E51</f>
        <v>1552467.885</v>
      </c>
      <c r="R11" s="376">
        <f>(Q11-D11)/Q11</f>
        <v>-9.9981441135922212E-3</v>
      </c>
      <c r="S11" s="56">
        <f>'Priceout-Douglas'!E30+'Priceout-Douglas'!E49</f>
        <v>115506.65000000002</v>
      </c>
      <c r="T11" s="376">
        <f>(S11-G11)/S11</f>
        <v>-3.8751232084036184E-3</v>
      </c>
      <c r="U11" s="56">
        <f>'Priceout-Okanogan'!E30+'Priceout-Okanogan'!E49</f>
        <v>336528.02365473442</v>
      </c>
      <c r="V11" s="376">
        <f>(U11-J11)/U11</f>
        <v>-2.7552273035173253E-3</v>
      </c>
    </row>
    <row r="12" spans="1:22">
      <c r="A12">
        <v>3112</v>
      </c>
      <c r="B12" t="s">
        <v>6</v>
      </c>
      <c r="C12" s="6">
        <f>'Results of Operations Staff '!N12</f>
        <v>0</v>
      </c>
      <c r="D12" s="121">
        <f>+'Cost Allocations'!F12</f>
        <v>0</v>
      </c>
      <c r="F12" s="146">
        <f t="shared" si="0"/>
        <v>0</v>
      </c>
      <c r="G12" s="6">
        <f>+'Cost Allocations'!I12</f>
        <v>0</v>
      </c>
      <c r="I12" s="146">
        <f t="shared" si="1"/>
        <v>0</v>
      </c>
      <c r="J12" s="6">
        <f>+'Cost Allocations'!L12</f>
        <v>0</v>
      </c>
      <c r="L12" s="6">
        <f t="shared" si="2"/>
        <v>0</v>
      </c>
      <c r="O12" s="6">
        <f t="shared" si="3"/>
        <v>0</v>
      </c>
      <c r="R12" s="94"/>
      <c r="T12" s="94"/>
      <c r="V12" s="94"/>
    </row>
    <row r="13" spans="1:22">
      <c r="A13">
        <v>3114</v>
      </c>
      <c r="B13" t="s">
        <v>7</v>
      </c>
      <c r="C13" s="6">
        <f>'Results of Operations Staff '!N13</f>
        <v>0</v>
      </c>
      <c r="D13" s="121">
        <f>+'Cost Allocations'!F13</f>
        <v>0</v>
      </c>
      <c r="F13" s="146">
        <f t="shared" si="0"/>
        <v>0</v>
      </c>
      <c r="G13" s="6">
        <f>+'Cost Allocations'!I13</f>
        <v>0</v>
      </c>
      <c r="I13" s="146">
        <f t="shared" si="1"/>
        <v>0</v>
      </c>
      <c r="J13" s="6">
        <f>+'Cost Allocations'!L13</f>
        <v>0</v>
      </c>
      <c r="L13" s="6">
        <f t="shared" si="2"/>
        <v>0</v>
      </c>
      <c r="O13" s="6">
        <f t="shared" si="3"/>
        <v>0</v>
      </c>
      <c r="R13" s="94"/>
      <c r="T13" s="94"/>
      <c r="V13" s="94"/>
    </row>
    <row r="14" spans="1:22">
      <c r="A14">
        <v>3300</v>
      </c>
      <c r="B14" t="s">
        <v>8</v>
      </c>
      <c r="C14" s="6">
        <f>'Results of Operations Staff '!N14</f>
        <v>241108.40100000001</v>
      </c>
      <c r="D14" s="121">
        <f>+'Cost Allocations'!F14</f>
        <v>104586.63647222819</v>
      </c>
      <c r="E14" s="6">
        <f>+IF(E1=0,0,'Priceout-Chelan'!J69-'Priceout-Chelan'!E69)</f>
        <v>6214.4999999999854</v>
      </c>
      <c r="F14" s="146">
        <f t="shared" si="0"/>
        <v>110801.13647222817</v>
      </c>
      <c r="G14" s="6">
        <f>+'Cost Allocations'!I14</f>
        <v>26210.563436434641</v>
      </c>
      <c r="H14" s="6">
        <f>+IF(H1=0,0,'Priceout-Douglas'!J66-'Priceout-Douglas'!E66)</f>
        <v>0</v>
      </c>
      <c r="I14" s="146">
        <f t="shared" si="1"/>
        <v>26210.563436434641</v>
      </c>
      <c r="J14" s="6">
        <f>+'Cost Allocations'!L14</f>
        <v>110311.20109133715</v>
      </c>
      <c r="K14" s="6">
        <f>+IF(K1=0,0,'Priceout-Okanogan'!J66-'Priceout-Okanogan'!E66)</f>
        <v>0</v>
      </c>
      <c r="L14" s="6">
        <f t="shared" si="2"/>
        <v>110311.20109133715</v>
      </c>
      <c r="O14" s="6">
        <f t="shared" si="3"/>
        <v>0</v>
      </c>
      <c r="Q14" s="6">
        <f>'Priceout-Chelan'!E69</f>
        <v>104395.45</v>
      </c>
      <c r="R14" s="376">
        <f>(Q14-D14)/Q14</f>
        <v>-1.831367863524606E-3</v>
      </c>
      <c r="S14" s="6">
        <f>'Priceout-Douglas'!E66</f>
        <v>26162.65</v>
      </c>
      <c r="T14" s="376">
        <f>(S14-G14)/S14</f>
        <v>-1.8313678635244958E-3</v>
      </c>
      <c r="U14" s="56">
        <f>'Priceout-Okanogan'!E66</f>
        <v>110109.55</v>
      </c>
      <c r="V14" s="376">
        <f>(U14-J14)/U14</f>
        <v>-1.8313678635245151E-3</v>
      </c>
    </row>
    <row r="15" spans="1:22">
      <c r="A15">
        <v>3310</v>
      </c>
      <c r="B15" t="s">
        <v>9</v>
      </c>
      <c r="C15" s="6">
        <f>'Results of Operations Staff '!N15</f>
        <v>365930.97</v>
      </c>
      <c r="D15" s="121">
        <f>+'Cost Allocations'!F15</f>
        <v>257416.96395997875</v>
      </c>
      <c r="F15" s="146">
        <f t="shared" si="0"/>
        <v>257416.96395997875</v>
      </c>
      <c r="G15" s="6">
        <f>+'Cost Allocations'!I15</f>
        <v>15064.828194368738</v>
      </c>
      <c r="I15" s="146">
        <f t="shared" si="1"/>
        <v>15064.828194368738</v>
      </c>
      <c r="J15" s="6">
        <f>+'Cost Allocations'!L15</f>
        <v>93449.177845652463</v>
      </c>
      <c r="L15" s="6">
        <f t="shared" si="2"/>
        <v>93449.177845652463</v>
      </c>
      <c r="O15" s="6">
        <f t="shared" si="3"/>
        <v>0</v>
      </c>
      <c r="R15" s="58"/>
      <c r="T15" s="56"/>
    </row>
    <row r="16" spans="1:22">
      <c r="A16">
        <v>3410</v>
      </c>
      <c r="B16" t="s">
        <v>327</v>
      </c>
      <c r="C16" s="6">
        <f>'Results of Operations Staff '!N16</f>
        <v>0</v>
      </c>
      <c r="D16" s="121">
        <f>+'Cost Allocations'!F18</f>
        <v>0</v>
      </c>
      <c r="F16" s="146">
        <f t="shared" si="0"/>
        <v>0</v>
      </c>
      <c r="G16" s="6">
        <f>+'Cost Allocations'!I18</f>
        <v>0</v>
      </c>
      <c r="I16" s="146">
        <f t="shared" si="1"/>
        <v>0</v>
      </c>
      <c r="J16" s="6">
        <f>+'Cost Allocations'!L18</f>
        <v>0</v>
      </c>
      <c r="L16" s="6">
        <f t="shared" si="2"/>
        <v>0</v>
      </c>
      <c r="O16" s="6">
        <f t="shared" si="3"/>
        <v>0</v>
      </c>
      <c r="R16" s="58"/>
      <c r="T16" s="56"/>
    </row>
    <row r="17" spans="1:18">
      <c r="A17">
        <v>3450</v>
      </c>
      <c r="B17" t="s">
        <v>328</v>
      </c>
      <c r="C17" s="6">
        <f>'Results of Operations Staff '!N17</f>
        <v>0</v>
      </c>
      <c r="D17" s="121">
        <f>+'Cost Allocations'!F19</f>
        <v>0</v>
      </c>
      <c r="F17" s="146">
        <f t="shared" si="0"/>
        <v>0</v>
      </c>
      <c r="G17" s="6">
        <f>+'Cost Allocations'!I19</f>
        <v>0</v>
      </c>
      <c r="I17" s="146">
        <f t="shared" si="1"/>
        <v>0</v>
      </c>
      <c r="J17" s="6">
        <f>+'Cost Allocations'!L19</f>
        <v>0</v>
      </c>
      <c r="L17" s="6">
        <f t="shared" si="2"/>
        <v>0</v>
      </c>
      <c r="O17" s="6">
        <f t="shared" si="3"/>
        <v>0</v>
      </c>
      <c r="R17" s="58"/>
    </row>
    <row r="18" spans="1:18">
      <c r="A18">
        <v>3460</v>
      </c>
      <c r="B18" t="s">
        <v>10</v>
      </c>
      <c r="C18" s="6">
        <f>'Results of Operations Staff '!N18</f>
        <v>0</v>
      </c>
      <c r="D18" s="121">
        <f>+'Cost Allocations'!F18</f>
        <v>0</v>
      </c>
      <c r="F18" s="146">
        <f t="shared" si="0"/>
        <v>0</v>
      </c>
      <c r="G18" s="6">
        <f>+'Cost Allocations'!I18</f>
        <v>0</v>
      </c>
      <c r="I18" s="146">
        <f t="shared" si="1"/>
        <v>0</v>
      </c>
      <c r="J18" s="6">
        <f>+'Cost Allocations'!L18</f>
        <v>0</v>
      </c>
      <c r="L18" s="6">
        <f t="shared" si="2"/>
        <v>0</v>
      </c>
      <c r="O18" s="6">
        <f t="shared" si="3"/>
        <v>0</v>
      </c>
      <c r="R18" s="58"/>
    </row>
    <row r="19" spans="1:18" ht="13.5" thickBot="1">
      <c r="A19">
        <v>3500</v>
      </c>
      <c r="B19" t="s">
        <v>11</v>
      </c>
      <c r="C19" s="6">
        <f>'Results of Operations Staff '!N19</f>
        <v>0</v>
      </c>
      <c r="D19" s="150">
        <f>+'Cost Allocations'!F19</f>
        <v>0</v>
      </c>
      <c r="E19" s="5"/>
      <c r="F19" s="149">
        <f t="shared" si="0"/>
        <v>0</v>
      </c>
      <c r="G19" s="7">
        <f>+'Cost Allocations'!I19</f>
        <v>0</v>
      </c>
      <c r="H19" s="5"/>
      <c r="I19" s="149">
        <f t="shared" si="1"/>
        <v>0</v>
      </c>
      <c r="J19" s="7">
        <f>+'Cost Allocations'!L19</f>
        <v>0</v>
      </c>
      <c r="K19" s="5"/>
      <c r="L19" s="7">
        <f t="shared" si="2"/>
        <v>0</v>
      </c>
      <c r="O19" s="6">
        <f t="shared" si="3"/>
        <v>0</v>
      </c>
      <c r="Q19" s="18"/>
    </row>
    <row r="20" spans="1:18">
      <c r="A20">
        <v>0</v>
      </c>
      <c r="D20" s="118"/>
      <c r="F20" s="144"/>
      <c r="I20" s="144"/>
      <c r="O20" s="6">
        <f t="shared" si="3"/>
        <v>0</v>
      </c>
    </row>
    <row r="21" spans="1:18" ht="13.5" thickBot="1">
      <c r="B21" t="s">
        <v>4</v>
      </c>
      <c r="C21" s="151">
        <f t="shared" ref="C21:L21" si="4">SUM(C11:C19)</f>
        <v>2628438.5410000002</v>
      </c>
      <c r="D21" s="150">
        <f t="shared" si="4"/>
        <v>1929993.2830781606</v>
      </c>
      <c r="E21" s="7">
        <f t="shared" si="4"/>
        <v>93939.5</v>
      </c>
      <c r="F21" s="149">
        <f t="shared" si="4"/>
        <v>2023932.7830781606</v>
      </c>
      <c r="G21" s="7">
        <f t="shared" si="4"/>
        <v>157229.64413094337</v>
      </c>
      <c r="H21" s="7">
        <f t="shared" ca="1" si="4"/>
        <v>34219.525072295495</v>
      </c>
      <c r="I21" s="149">
        <f t="shared" ca="1" si="4"/>
        <v>191449.16920323885</v>
      </c>
      <c r="J21" s="7">
        <f t="shared" si="4"/>
        <v>541215.61379089626</v>
      </c>
      <c r="K21" s="7">
        <f t="shared" ca="1" si="4"/>
        <v>-65514.227977309543</v>
      </c>
      <c r="L21" s="7">
        <f t="shared" ca="1" si="4"/>
        <v>475701.3858135867</v>
      </c>
      <c r="O21" s="6">
        <f t="shared" si="3"/>
        <v>0</v>
      </c>
    </row>
    <row r="22" spans="1:18">
      <c r="D22" s="118"/>
      <c r="F22" s="144"/>
      <c r="I22" s="144"/>
      <c r="O22" s="6">
        <f t="shared" si="3"/>
        <v>0</v>
      </c>
    </row>
    <row r="23" spans="1:18">
      <c r="A23" t="s">
        <v>12</v>
      </c>
      <c r="D23" s="118"/>
      <c r="F23" s="144"/>
      <c r="I23" s="144"/>
      <c r="O23" s="6">
        <f t="shared" si="3"/>
        <v>0</v>
      </c>
    </row>
    <row r="24" spans="1:18">
      <c r="A24" t="s">
        <v>13</v>
      </c>
      <c r="D24" s="118"/>
      <c r="F24" s="144"/>
      <c r="I24" s="144"/>
      <c r="O24" s="6">
        <f t="shared" si="3"/>
        <v>0</v>
      </c>
    </row>
    <row r="25" spans="1:18">
      <c r="A25">
        <v>4116</v>
      </c>
      <c r="B25" t="s">
        <v>29</v>
      </c>
      <c r="C25" s="6">
        <f>'Results of Operations Staff '!N25</f>
        <v>84340.379451253379</v>
      </c>
      <c r="D25" s="121">
        <f>+'Cost Allocations'!F25</f>
        <v>65714.816643797269</v>
      </c>
      <c r="F25" s="146">
        <f t="shared" ref="F25:F38" si="5">+D25+E25</f>
        <v>65714.816643797269</v>
      </c>
      <c r="G25" s="6">
        <f>+'Cost Allocations'!I25</f>
        <v>6483.0276254792343</v>
      </c>
      <c r="I25" s="146">
        <f t="shared" ref="I25:I38" si="6">+G25+H25</f>
        <v>6483.0276254792343</v>
      </c>
      <c r="J25" s="6">
        <f>+'Cost Allocations'!L25</f>
        <v>12142.535181976869</v>
      </c>
      <c r="L25" s="6">
        <f t="shared" ref="L25:L38" si="7">+J25+K25</f>
        <v>12142.535181976869</v>
      </c>
      <c r="O25" s="6">
        <f t="shared" si="3"/>
        <v>0</v>
      </c>
    </row>
    <row r="26" spans="1:18">
      <c r="A26">
        <v>4117</v>
      </c>
      <c r="B26" t="s">
        <v>277</v>
      </c>
      <c r="C26" s="6">
        <f>'Results of Operations Staff '!N26</f>
        <v>3554.75</v>
      </c>
      <c r="D26" s="121">
        <f>+'Cost Allocations'!F26</f>
        <v>2769.7260314029431</v>
      </c>
      <c r="F26" s="146">
        <f t="shared" si="5"/>
        <v>2769.7260314029431</v>
      </c>
      <c r="G26" s="6">
        <f>+'Cost Allocations'!I26</f>
        <v>273.24447200278547</v>
      </c>
      <c r="I26" s="146">
        <f t="shared" si="6"/>
        <v>273.24447200278547</v>
      </c>
      <c r="J26" s="6">
        <f>+'Cost Allocations'!L26</f>
        <v>511.77949659427134</v>
      </c>
      <c r="L26" s="6">
        <f t="shared" si="7"/>
        <v>511.77949659427134</v>
      </c>
      <c r="O26" s="6">
        <f t="shared" si="3"/>
        <v>0</v>
      </c>
    </row>
    <row r="27" spans="1:18">
      <c r="A27">
        <v>4118</v>
      </c>
      <c r="B27" t="s">
        <v>30</v>
      </c>
      <c r="C27" s="6">
        <f>'Results of Operations Staff '!N27</f>
        <v>2829.6183206106871</v>
      </c>
      <c r="D27" s="121">
        <f>+'Cost Allocations'!F27</f>
        <v>2320.2870229007631</v>
      </c>
      <c r="F27" s="146">
        <f t="shared" si="5"/>
        <v>2320.2870229007631</v>
      </c>
      <c r="G27" s="6">
        <f>+'Cost Allocations'!I27</f>
        <v>113.18473282442748</v>
      </c>
      <c r="I27" s="146">
        <f t="shared" si="6"/>
        <v>113.18473282442748</v>
      </c>
      <c r="J27" s="6">
        <f>+'Cost Allocations'!L27</f>
        <v>367.85038167938933</v>
      </c>
      <c r="L27" s="6">
        <f t="shared" si="7"/>
        <v>367.85038167938933</v>
      </c>
      <c r="O27" s="6">
        <f t="shared" si="3"/>
        <v>28.296183206107173</v>
      </c>
    </row>
    <row r="28" spans="1:18">
      <c r="A28">
        <v>4119</v>
      </c>
      <c r="B28" t="s">
        <v>278</v>
      </c>
      <c r="C28" s="6">
        <f>'Results of Operations Staff '!N28</f>
        <v>140</v>
      </c>
      <c r="D28" s="121">
        <f>+'Cost Allocations'!F28</f>
        <v>114.8</v>
      </c>
      <c r="F28" s="146">
        <f t="shared" si="5"/>
        <v>114.8</v>
      </c>
      <c r="G28" s="6">
        <f>+'Cost Allocations'!I28</f>
        <v>5.6000000000000005</v>
      </c>
      <c r="I28" s="146">
        <f t="shared" si="6"/>
        <v>5.6000000000000005</v>
      </c>
      <c r="J28" s="6">
        <f>+'Cost Allocations'!L28</f>
        <v>18.2</v>
      </c>
      <c r="L28" s="6">
        <f t="shared" si="7"/>
        <v>18.2</v>
      </c>
      <c r="O28" s="6">
        <f t="shared" si="3"/>
        <v>1.4000000000000021</v>
      </c>
    </row>
    <row r="29" spans="1:18">
      <c r="A29">
        <v>4122</v>
      </c>
      <c r="B29" t="s">
        <v>329</v>
      </c>
      <c r="C29" s="6">
        <f>'Results of Operations Staff '!N29</f>
        <v>0</v>
      </c>
      <c r="D29" s="121">
        <f>+'Cost Allocations'!F29</f>
        <v>0</v>
      </c>
      <c r="F29" s="146">
        <f t="shared" si="5"/>
        <v>0</v>
      </c>
      <c r="G29" s="6">
        <f>+'Cost Allocations'!I29</f>
        <v>0</v>
      </c>
      <c r="I29" s="146">
        <f t="shared" si="6"/>
        <v>0</v>
      </c>
      <c r="J29" s="6">
        <f>+'Cost Allocations'!L29</f>
        <v>0</v>
      </c>
      <c r="L29" s="6">
        <f t="shared" si="7"/>
        <v>0</v>
      </c>
      <c r="O29" s="6">
        <f t="shared" si="3"/>
        <v>0</v>
      </c>
    </row>
    <row r="30" spans="1:18">
      <c r="A30">
        <v>4132</v>
      </c>
      <c r="B30" t="s">
        <v>31</v>
      </c>
      <c r="C30" s="6">
        <f>'Results of Operations Staff '!N30</f>
        <v>51247.294018989756</v>
      </c>
      <c r="D30" s="121">
        <f>+'Cost Allocations'!F30</f>
        <v>39929.942832366913</v>
      </c>
      <c r="F30" s="146">
        <f t="shared" si="5"/>
        <v>39929.942832366913</v>
      </c>
      <c r="G30" s="6">
        <f>+'Cost Allocations'!I30</f>
        <v>3939.2474283115162</v>
      </c>
      <c r="I30" s="146">
        <f t="shared" si="6"/>
        <v>3939.2474283115162</v>
      </c>
      <c r="J30" s="6">
        <f>+'Cost Allocations'!L30</f>
        <v>7378.1037583113266</v>
      </c>
      <c r="L30" s="6">
        <f t="shared" si="7"/>
        <v>7378.1037583113266</v>
      </c>
      <c r="O30" s="6">
        <f t="shared" si="3"/>
        <v>0</v>
      </c>
    </row>
    <row r="31" spans="1:18">
      <c r="A31">
        <v>4133</v>
      </c>
      <c r="B31" t="s">
        <v>279</v>
      </c>
      <c r="C31" s="6">
        <f>'Results of Operations Staff '!N31</f>
        <v>5382.42</v>
      </c>
      <c r="D31" s="121">
        <f>+'Cost Allocations'!F31</f>
        <v>4193.776998647958</v>
      </c>
      <c r="F31" s="146">
        <f t="shared" si="5"/>
        <v>4193.776998647958</v>
      </c>
      <c r="G31" s="6">
        <f>+'Cost Allocations'!I31</f>
        <v>413.73275504528664</v>
      </c>
      <c r="I31" s="146">
        <f t="shared" si="6"/>
        <v>413.73275504528664</v>
      </c>
      <c r="J31" s="6">
        <f>+'Cost Allocations'!L31</f>
        <v>774.9102463067552</v>
      </c>
      <c r="L31" s="6">
        <f t="shared" si="7"/>
        <v>774.9102463067552</v>
      </c>
      <c r="O31" s="6">
        <f t="shared" si="3"/>
        <v>0</v>
      </c>
    </row>
    <row r="32" spans="1:18">
      <c r="A32">
        <v>4134</v>
      </c>
      <c r="B32" t="s">
        <v>32</v>
      </c>
      <c r="C32" s="6">
        <f>'Results of Operations Staff '!N32</f>
        <v>4335.7190839694658</v>
      </c>
      <c r="D32" s="121">
        <f>+'Cost Allocations'!F32</f>
        <v>3555.2896488549618</v>
      </c>
      <c r="F32" s="146">
        <f t="shared" si="5"/>
        <v>3555.2896488549618</v>
      </c>
      <c r="G32" s="6">
        <f>+'Cost Allocations'!I32</f>
        <v>173.42876335877864</v>
      </c>
      <c r="I32" s="146">
        <f t="shared" si="6"/>
        <v>173.42876335877864</v>
      </c>
      <c r="J32" s="6">
        <f>+'Cost Allocations'!L32</f>
        <v>563.64348091603063</v>
      </c>
      <c r="L32" s="6">
        <f t="shared" si="7"/>
        <v>563.64348091603063</v>
      </c>
      <c r="O32" s="6">
        <f t="shared" si="3"/>
        <v>43.357190839694795</v>
      </c>
    </row>
    <row r="33" spans="1:15">
      <c r="A33">
        <v>4135</v>
      </c>
      <c r="B33" t="s">
        <v>280</v>
      </c>
      <c r="C33" s="6">
        <f>'Results of Operations Staff '!N33</f>
        <v>526.72</v>
      </c>
      <c r="D33" s="121">
        <f>+'Cost Allocations'!F33</f>
        <v>431.91039999999998</v>
      </c>
      <c r="F33" s="146">
        <f t="shared" si="5"/>
        <v>431.91039999999998</v>
      </c>
      <c r="G33" s="6">
        <f>+'Cost Allocations'!I33</f>
        <v>21.068800000000003</v>
      </c>
      <c r="I33" s="146">
        <f t="shared" si="6"/>
        <v>21.068800000000003</v>
      </c>
      <c r="J33" s="6">
        <f>+'Cost Allocations'!L33</f>
        <v>68.473600000000005</v>
      </c>
      <c r="L33" s="6">
        <f t="shared" si="7"/>
        <v>68.473600000000005</v>
      </c>
      <c r="O33" s="6">
        <f t="shared" si="3"/>
        <v>5.267200000000031</v>
      </c>
    </row>
    <row r="34" spans="1:15">
      <c r="A34">
        <v>4138</v>
      </c>
      <c r="B34" t="s">
        <v>330</v>
      </c>
      <c r="C34" s="6">
        <f>'Results of Operations Staff '!N34</f>
        <v>0</v>
      </c>
      <c r="D34" s="121">
        <f>+'Cost Allocations'!F34</f>
        <v>0</v>
      </c>
      <c r="F34" s="146">
        <f t="shared" si="5"/>
        <v>0</v>
      </c>
      <c r="G34" s="6">
        <f>+'Cost Allocations'!I34</f>
        <v>0</v>
      </c>
      <c r="I34" s="146">
        <f t="shared" si="6"/>
        <v>0</v>
      </c>
      <c r="J34" s="6">
        <f>+'Cost Allocations'!L34</f>
        <v>0</v>
      </c>
      <c r="L34" s="6">
        <f t="shared" si="7"/>
        <v>0</v>
      </c>
      <c r="O34" s="6">
        <f t="shared" si="3"/>
        <v>0</v>
      </c>
    </row>
    <row r="35" spans="1:15">
      <c r="A35">
        <v>4160</v>
      </c>
      <c r="B35" t="s">
        <v>33</v>
      </c>
      <c r="C35" s="6">
        <f>'Results of Operations Staff '!N35</f>
        <v>23995.173721388681</v>
      </c>
      <c r="D35" s="121">
        <f>+'Cost Allocations'!F35</f>
        <v>16576.851601454993</v>
      </c>
      <c r="F35" s="146">
        <f t="shared" si="5"/>
        <v>16576.851601454993</v>
      </c>
      <c r="G35" s="6">
        <f>+'Cost Allocations'!I35</f>
        <v>2125.2887221383503</v>
      </c>
      <c r="I35" s="146">
        <f t="shared" si="6"/>
        <v>2125.2887221383503</v>
      </c>
      <c r="J35" s="6">
        <f>+'Cost Allocations'!L35</f>
        <v>5293.0333977953396</v>
      </c>
      <c r="L35" s="6">
        <f t="shared" si="7"/>
        <v>5293.0333977953396</v>
      </c>
      <c r="O35" s="6">
        <f t="shared" si="3"/>
        <v>0</v>
      </c>
    </row>
    <row r="36" spans="1:15">
      <c r="A36">
        <v>4161</v>
      </c>
      <c r="B36" t="s">
        <v>281</v>
      </c>
      <c r="C36" s="6">
        <f>'Results of Operations Staff '!N36</f>
        <v>3764.16</v>
      </c>
      <c r="D36" s="121">
        <f>+'Cost Allocations'!F36</f>
        <v>2600.4363397674806</v>
      </c>
      <c r="F36" s="146">
        <f t="shared" si="5"/>
        <v>2600.4363397674806</v>
      </c>
      <c r="G36" s="6">
        <f>+'Cost Allocations'!I36</f>
        <v>333.39732769650107</v>
      </c>
      <c r="I36" s="146">
        <f t="shared" si="6"/>
        <v>333.39732769650107</v>
      </c>
      <c r="J36" s="6">
        <f>+'Cost Allocations'!L36</f>
        <v>830.3263325360183</v>
      </c>
      <c r="L36" s="6">
        <f t="shared" si="7"/>
        <v>830.3263325360183</v>
      </c>
      <c r="O36" s="6">
        <f t="shared" si="3"/>
        <v>0</v>
      </c>
    </row>
    <row r="37" spans="1:15">
      <c r="A37">
        <v>4162</v>
      </c>
      <c r="B37" t="s">
        <v>1276</v>
      </c>
      <c r="C37" s="6">
        <f>'Results of Operations Staff '!N37</f>
        <v>0</v>
      </c>
      <c r="D37" s="121">
        <f>+'Cost Allocations'!F37</f>
        <v>0</v>
      </c>
      <c r="F37" s="146">
        <f t="shared" ref="F37" si="8">+D37+E37</f>
        <v>0</v>
      </c>
      <c r="G37" s="6">
        <f>+'Cost Allocations'!I37</f>
        <v>0</v>
      </c>
      <c r="I37" s="146">
        <f t="shared" ref="I37" si="9">+G37+H37</f>
        <v>0</v>
      </c>
      <c r="J37" s="6">
        <f>+'Cost Allocations'!L37</f>
        <v>0</v>
      </c>
      <c r="L37" s="6">
        <f t="shared" ref="L37" si="10">+J37+K37</f>
        <v>0</v>
      </c>
      <c r="O37" s="6">
        <f t="shared" ref="O37" si="11">+C37-D37-G37-J37</f>
        <v>0</v>
      </c>
    </row>
    <row r="38" spans="1:15">
      <c r="A38">
        <v>4180</v>
      </c>
      <c r="B38" t="s">
        <v>34</v>
      </c>
      <c r="C38" s="6">
        <f>'Results of Operations Staff '!N38</f>
        <v>18004.893719435637</v>
      </c>
      <c r="D38" s="121">
        <f>+'Cost Allocations'!F38</f>
        <v>14028.728554009211</v>
      </c>
      <c r="F38" s="146">
        <f t="shared" si="5"/>
        <v>14028.728554009211</v>
      </c>
      <c r="G38" s="6">
        <f>+'Cost Allocations'!I38</f>
        <v>1383.9897820756619</v>
      </c>
      <c r="I38" s="146">
        <f t="shared" si="6"/>
        <v>1383.9897820756619</v>
      </c>
      <c r="J38" s="6">
        <f>+'Cost Allocations'!L38</f>
        <v>2592.1753833507637</v>
      </c>
      <c r="L38" s="6">
        <f t="shared" si="7"/>
        <v>2592.1753833507637</v>
      </c>
      <c r="O38" s="6">
        <f t="shared" si="3"/>
        <v>0</v>
      </c>
    </row>
    <row r="39" spans="1:15">
      <c r="A39" t="s">
        <v>16</v>
      </c>
      <c r="C39" s="6">
        <f>'Results of Operations Staff '!N39</f>
        <v>0</v>
      </c>
      <c r="D39" s="121"/>
      <c r="F39" s="146"/>
      <c r="G39" s="6"/>
      <c r="I39" s="146"/>
      <c r="J39" s="6"/>
      <c r="L39" s="6"/>
      <c r="O39" s="6">
        <f t="shared" si="3"/>
        <v>0</v>
      </c>
    </row>
    <row r="40" spans="1:15">
      <c r="A40">
        <v>4210</v>
      </c>
      <c r="B40" t="s">
        <v>35</v>
      </c>
      <c r="C40" s="6">
        <f>'Results of Operations Staff '!N40</f>
        <v>0</v>
      </c>
      <c r="D40" s="121">
        <f>+'Cost Allocations'!F40</f>
        <v>0</v>
      </c>
      <c r="F40" s="146">
        <f t="shared" ref="F40:F49" si="12">+D40+E40</f>
        <v>0</v>
      </c>
      <c r="G40" s="6">
        <f>+'Cost Allocations'!I40</f>
        <v>0</v>
      </c>
      <c r="I40" s="146">
        <f t="shared" ref="I40:I49" si="13">+G40+H40</f>
        <v>0</v>
      </c>
      <c r="J40" s="6">
        <f>+'Cost Allocations'!L40</f>
        <v>0</v>
      </c>
      <c r="L40" s="6">
        <f t="shared" ref="L40:L49" si="14">+J40+K40</f>
        <v>0</v>
      </c>
      <c r="O40" s="6">
        <f t="shared" si="3"/>
        <v>0</v>
      </c>
    </row>
    <row r="41" spans="1:15">
      <c r="A41">
        <v>4213</v>
      </c>
      <c r="B41" t="s">
        <v>36</v>
      </c>
      <c r="C41" s="6">
        <f>'Results of Operations Staff '!N41</f>
        <v>293712.75198684493</v>
      </c>
      <c r="D41" s="121">
        <f>+'Cost Allocations'!F41</f>
        <v>228849.80798451675</v>
      </c>
      <c r="F41" s="146">
        <f t="shared" si="12"/>
        <v>228849.80798451675</v>
      </c>
      <c r="G41" s="6">
        <f>+'Cost Allocations'!I41</f>
        <v>22576.942355195311</v>
      </c>
      <c r="I41" s="146">
        <f t="shared" si="13"/>
        <v>22576.942355195311</v>
      </c>
      <c r="J41" s="6">
        <f>+'Cost Allocations'!L41</f>
        <v>42286.001647132871</v>
      </c>
      <c r="L41" s="6">
        <f t="shared" si="14"/>
        <v>42286.001647132871</v>
      </c>
      <c r="O41" s="6">
        <f t="shared" si="3"/>
        <v>0</v>
      </c>
    </row>
    <row r="42" spans="1:15">
      <c r="A42">
        <v>4215</v>
      </c>
      <c r="B42" t="s">
        <v>37</v>
      </c>
      <c r="C42" s="6">
        <f>'Results of Operations Staff '!N42</f>
        <v>41679.339999999997</v>
      </c>
      <c r="D42" s="121">
        <f>+'Cost Allocations'!F42</f>
        <v>18079.428020355037</v>
      </c>
      <c r="F42" s="146">
        <f t="shared" si="12"/>
        <v>18079.428020355037</v>
      </c>
      <c r="G42" s="6">
        <f>+'Cost Allocations'!I42</f>
        <v>4530.9038612002896</v>
      </c>
      <c r="I42" s="146">
        <f t="shared" si="13"/>
        <v>4530.9038612002896</v>
      </c>
      <c r="J42" s="6">
        <f>+'Cost Allocations'!L42</f>
        <v>19069.008118444664</v>
      </c>
      <c r="L42" s="6">
        <f t="shared" si="14"/>
        <v>19069.008118444664</v>
      </c>
      <c r="O42" s="6">
        <f t="shared" si="3"/>
        <v>0</v>
      </c>
    </row>
    <row r="43" spans="1:15">
      <c r="A43">
        <v>4216</v>
      </c>
      <c r="B43" t="s">
        <v>284</v>
      </c>
      <c r="C43" s="6">
        <f>'Results of Operations Staff '!N43</f>
        <v>7638.6575119616891</v>
      </c>
      <c r="D43" s="121">
        <f>+'Cost Allocations'!F43</f>
        <v>5951.7514750269156</v>
      </c>
      <c r="F43" s="146">
        <f t="shared" si="12"/>
        <v>5951.7514750269156</v>
      </c>
      <c r="G43" s="6">
        <f>+'Cost Allocations'!I43</f>
        <v>587.16391832508134</v>
      </c>
      <c r="I43" s="146">
        <f t="shared" si="13"/>
        <v>587.16391832508134</v>
      </c>
      <c r="J43" s="6">
        <f>+'Cost Allocations'!L43</f>
        <v>1099.7421186096919</v>
      </c>
      <c r="L43" s="6">
        <f t="shared" si="14"/>
        <v>1099.7421186096919</v>
      </c>
      <c r="O43" s="6">
        <f t="shared" si="3"/>
        <v>0</v>
      </c>
    </row>
    <row r="44" spans="1:15">
      <c r="A44">
        <v>4222</v>
      </c>
      <c r="B44" t="s">
        <v>331</v>
      </c>
      <c r="C44" s="6">
        <f>'Results of Operations Staff '!N44</f>
        <v>0</v>
      </c>
      <c r="D44" s="121">
        <f>+'Cost Allocations'!F44</f>
        <v>0</v>
      </c>
      <c r="F44" s="146">
        <f t="shared" si="12"/>
        <v>0</v>
      </c>
      <c r="G44" s="6">
        <f>+'Cost Allocations'!I44</f>
        <v>0</v>
      </c>
      <c r="I44" s="146">
        <f t="shared" si="13"/>
        <v>0</v>
      </c>
      <c r="J44" s="6">
        <f>+'Cost Allocations'!L44</f>
        <v>0</v>
      </c>
      <c r="L44" s="6">
        <f t="shared" si="14"/>
        <v>0</v>
      </c>
      <c r="O44" s="6">
        <f t="shared" ref="O44:O77" si="15">+C44-D44-G44-J44</f>
        <v>0</v>
      </c>
    </row>
    <row r="45" spans="1:15">
      <c r="A45">
        <v>4240</v>
      </c>
      <c r="B45" t="s">
        <v>38</v>
      </c>
      <c r="C45" s="6">
        <f>'Results of Operations Staff '!N45</f>
        <v>93563.656315368222</v>
      </c>
      <c r="D45" s="121">
        <f>+'Cost Allocations'!F45</f>
        <v>72901.243263215059</v>
      </c>
      <c r="F45" s="146">
        <f t="shared" si="12"/>
        <v>72901.243263215059</v>
      </c>
      <c r="G45" s="6">
        <f>+'Cost Allocations'!I45</f>
        <v>7191.9971498819541</v>
      </c>
      <c r="I45" s="146">
        <f t="shared" si="13"/>
        <v>7191.9971498819541</v>
      </c>
      <c r="J45" s="6">
        <f>+'Cost Allocations'!L45</f>
        <v>13470.415902271205</v>
      </c>
      <c r="L45" s="6">
        <f t="shared" si="14"/>
        <v>13470.415902271205</v>
      </c>
      <c r="O45" s="6">
        <f t="shared" si="15"/>
        <v>0</v>
      </c>
    </row>
    <row r="46" spans="1:15">
      <c r="A46">
        <v>4241</v>
      </c>
      <c r="B46" t="s">
        <v>282</v>
      </c>
      <c r="C46" s="6">
        <f>'Results of Operations Staff '!N46</f>
        <v>24776.99</v>
      </c>
      <c r="D46" s="121">
        <f>+'Cost Allocations'!F46</f>
        <v>19305.288468334034</v>
      </c>
      <c r="F46" s="146">
        <f t="shared" si="12"/>
        <v>19305.288468334034</v>
      </c>
      <c r="G46" s="6">
        <f>+'Cost Allocations'!I46</f>
        <v>1904.5433716487225</v>
      </c>
      <c r="I46" s="146">
        <f t="shared" si="13"/>
        <v>1904.5433716487225</v>
      </c>
      <c r="J46" s="6">
        <f>+'Cost Allocations'!L46</f>
        <v>3567.1581600172431</v>
      </c>
      <c r="L46" s="6">
        <f t="shared" si="14"/>
        <v>3567.1581600172431</v>
      </c>
      <c r="O46" s="6">
        <f t="shared" si="15"/>
        <v>0</v>
      </c>
    </row>
    <row r="47" spans="1:15">
      <c r="A47">
        <v>4244</v>
      </c>
      <c r="B47" t="s">
        <v>332</v>
      </c>
      <c r="C47" s="6">
        <f>'Results of Operations Staff '!N47</f>
        <v>0</v>
      </c>
      <c r="D47" s="121">
        <f>+'Cost Allocations'!F47</f>
        <v>0</v>
      </c>
      <c r="F47" s="146">
        <f t="shared" si="12"/>
        <v>0</v>
      </c>
      <c r="G47" s="6">
        <f>+'Cost Allocations'!I47</f>
        <v>0</v>
      </c>
      <c r="I47" s="146">
        <f t="shared" si="13"/>
        <v>0</v>
      </c>
      <c r="J47" s="6">
        <f>+'Cost Allocations'!L47</f>
        <v>0</v>
      </c>
      <c r="L47" s="6">
        <f t="shared" si="14"/>
        <v>0</v>
      </c>
      <c r="O47" s="6">
        <f t="shared" si="15"/>
        <v>0</v>
      </c>
    </row>
    <row r="48" spans="1:15">
      <c r="A48">
        <v>4280</v>
      </c>
      <c r="B48" t="s">
        <v>39</v>
      </c>
      <c r="C48" s="6">
        <f>'Results of Operations Staff '!N48</f>
        <v>12138.718510616805</v>
      </c>
      <c r="D48" s="121">
        <f>+'Cost Allocations'!F48</f>
        <v>9458.0278913364164</v>
      </c>
      <c r="F48" s="146">
        <f t="shared" si="12"/>
        <v>9458.0278913364164</v>
      </c>
      <c r="G48" s="6">
        <f>+'Cost Allocations'!I48</f>
        <v>933.07201075291584</v>
      </c>
      <c r="I48" s="146">
        <f t="shared" si="13"/>
        <v>933.07201075291584</v>
      </c>
      <c r="J48" s="6">
        <f>+'Cost Allocations'!L48</f>
        <v>1747.6186085274721</v>
      </c>
      <c r="L48" s="6">
        <f t="shared" si="14"/>
        <v>1747.6186085274721</v>
      </c>
      <c r="O48" s="6">
        <f t="shared" si="15"/>
        <v>0</v>
      </c>
    </row>
    <row r="49" spans="1:15">
      <c r="A49">
        <v>4282</v>
      </c>
      <c r="B49" t="s">
        <v>334</v>
      </c>
      <c r="C49" s="6">
        <f>'Results of Operations Staff '!N49</f>
        <v>0</v>
      </c>
      <c r="D49" s="121">
        <f>+'Cost Allocations'!F49</f>
        <v>0</v>
      </c>
      <c r="F49" s="146">
        <f t="shared" si="12"/>
        <v>0</v>
      </c>
      <c r="G49" s="6">
        <f>+'Cost Allocations'!I49</f>
        <v>0</v>
      </c>
      <c r="I49" s="146">
        <f t="shared" si="13"/>
        <v>0</v>
      </c>
      <c r="J49" s="6">
        <f>+'Cost Allocations'!L49</f>
        <v>0</v>
      </c>
      <c r="L49" s="6">
        <f t="shared" si="14"/>
        <v>0</v>
      </c>
      <c r="O49" s="6">
        <f t="shared" si="15"/>
        <v>0</v>
      </c>
    </row>
    <row r="50" spans="1:15">
      <c r="A50" t="s">
        <v>17</v>
      </c>
      <c r="C50" s="6">
        <f>'Results of Operations Staff '!N50</f>
        <v>0</v>
      </c>
      <c r="D50" s="121"/>
      <c r="F50" s="146"/>
      <c r="G50" s="6"/>
      <c r="I50" s="146"/>
      <c r="J50" s="6"/>
      <c r="L50" s="6"/>
      <c r="O50" s="6">
        <f t="shared" si="15"/>
        <v>0</v>
      </c>
    </row>
    <row r="51" spans="1:15">
      <c r="A51">
        <v>4360</v>
      </c>
      <c r="B51" t="s">
        <v>40</v>
      </c>
      <c r="C51" s="6">
        <f>'Results of Operations Staff '!N51</f>
        <v>447644.11896463222</v>
      </c>
      <c r="D51" s="121">
        <f>+'Cost Allocations'!F51</f>
        <v>442799.55610977556</v>
      </c>
      <c r="F51" s="146">
        <f>+D51+E51</f>
        <v>442799.55610977556</v>
      </c>
      <c r="G51" s="6">
        <f>+'Cost Allocations'!I51</f>
        <v>275.82122846865627</v>
      </c>
      <c r="I51" s="146">
        <f>+G51+H51</f>
        <v>275.82122846865627</v>
      </c>
      <c r="J51" s="6">
        <f>+'Cost Allocations'!L51</f>
        <v>4568.7416263880314</v>
      </c>
      <c r="L51" s="6">
        <f>+J51+K51</f>
        <v>4568.7416263880314</v>
      </c>
      <c r="O51" s="6">
        <f t="shared" si="15"/>
        <v>-2.7284841053187847E-11</v>
      </c>
    </row>
    <row r="52" spans="1:15">
      <c r="A52">
        <v>4361</v>
      </c>
      <c r="B52" t="s">
        <v>41</v>
      </c>
      <c r="C52" s="6">
        <f>'Results of Operations Staff '!N52</f>
        <v>255383.11</v>
      </c>
      <c r="D52" s="121">
        <f>+'Cost Allocations'!F52</f>
        <v>255383.11</v>
      </c>
      <c r="F52" s="146">
        <f>+D52+E52</f>
        <v>255383.11</v>
      </c>
      <c r="G52" s="6">
        <f>+'Cost Allocations'!I52</f>
        <v>0</v>
      </c>
      <c r="I52" s="146">
        <f>+G52+H52</f>
        <v>0</v>
      </c>
      <c r="J52" s="6">
        <f>+'Cost Allocations'!L52</f>
        <v>0</v>
      </c>
      <c r="L52" s="6">
        <f>+J52+K52</f>
        <v>0</v>
      </c>
      <c r="O52" s="6">
        <f t="shared" si="15"/>
        <v>0</v>
      </c>
    </row>
    <row r="53" spans="1:15">
      <c r="A53">
        <v>4362</v>
      </c>
      <c r="B53" t="s">
        <v>42</v>
      </c>
      <c r="C53" s="6">
        <f>'Results of Operations Staff '!N53</f>
        <v>120310.00710885909</v>
      </c>
      <c r="D53" s="121">
        <f>+'Cost Allocations'!F53</f>
        <v>0</v>
      </c>
      <c r="F53" s="146">
        <f>+D53+E53</f>
        <v>0</v>
      </c>
      <c r="G53" s="6">
        <f>+'Cost Allocations'!I53</f>
        <v>33841.648548198245</v>
      </c>
      <c r="I53" s="146">
        <f>+G53+H53</f>
        <v>33841.648548198245</v>
      </c>
      <c r="J53" s="6">
        <f>+'Cost Allocations'!L53</f>
        <v>86468.358560660854</v>
      </c>
      <c r="L53" s="6">
        <f>+J53+K53</f>
        <v>86468.358560660854</v>
      </c>
      <c r="O53" s="6">
        <f t="shared" si="15"/>
        <v>0</v>
      </c>
    </row>
    <row r="54" spans="1:15">
      <c r="A54">
        <v>4363</v>
      </c>
      <c r="B54" t="s">
        <v>43</v>
      </c>
      <c r="C54" s="6">
        <f>'Results of Operations Staff '!N54</f>
        <v>110547.86</v>
      </c>
      <c r="D54" s="121">
        <f>+'Cost Allocations'!F54</f>
        <v>0</v>
      </c>
      <c r="F54" s="146">
        <f>+D54+E54</f>
        <v>0</v>
      </c>
      <c r="G54" s="6">
        <f>+'Cost Allocations'!I54</f>
        <v>15347.184929666269</v>
      </c>
      <c r="I54" s="146">
        <f>+G54+H54</f>
        <v>15347.184929666269</v>
      </c>
      <c r="J54" s="6">
        <f>+'Cost Allocations'!L54</f>
        <v>95200.675070333731</v>
      </c>
      <c r="L54" s="6">
        <f>+J54+K54</f>
        <v>95200.675070333731</v>
      </c>
      <c r="O54" s="6">
        <f t="shared" si="15"/>
        <v>0</v>
      </c>
    </row>
    <row r="55" spans="1:15">
      <c r="A55">
        <v>4380</v>
      </c>
      <c r="B55" t="s">
        <v>335</v>
      </c>
      <c r="C55" s="6">
        <f>'Results of Operations Staff '!N55</f>
        <v>0</v>
      </c>
      <c r="D55" s="121">
        <f>+'Cost Allocations'!F55</f>
        <v>0</v>
      </c>
      <c r="F55" s="146">
        <f>+D55+E55</f>
        <v>0</v>
      </c>
      <c r="G55" s="6">
        <f>+'Cost Allocations'!I55</f>
        <v>0</v>
      </c>
      <c r="I55" s="146">
        <f>+G55+H55</f>
        <v>0</v>
      </c>
      <c r="J55" s="6">
        <f>+'Cost Allocations'!L55</f>
        <v>0</v>
      </c>
      <c r="L55" s="6">
        <f>+J55+K55</f>
        <v>0</v>
      </c>
      <c r="O55" s="6">
        <f t="shared" si="15"/>
        <v>0</v>
      </c>
    </row>
    <row r="56" spans="1:15">
      <c r="A56" t="s">
        <v>14</v>
      </c>
      <c r="C56" s="6">
        <f>'Results of Operations Staff '!N56</f>
        <v>0</v>
      </c>
      <c r="D56" s="121"/>
      <c r="F56" s="146"/>
      <c r="G56" s="6"/>
      <c r="I56" s="146"/>
      <c r="J56" s="6"/>
      <c r="L56" s="6"/>
      <c r="O56" s="6">
        <f t="shared" si="15"/>
        <v>0</v>
      </c>
    </row>
    <row r="57" spans="1:15">
      <c r="A57">
        <v>4430</v>
      </c>
      <c r="B57" t="s">
        <v>44</v>
      </c>
      <c r="C57" s="6">
        <f>'Results of Operations Staff '!N57</f>
        <v>0</v>
      </c>
      <c r="D57" s="121">
        <f>+'Cost Allocations'!F57</f>
        <v>0</v>
      </c>
      <c r="F57" s="146">
        <f>+D57+E57</f>
        <v>0</v>
      </c>
      <c r="G57" s="6">
        <f>+'Cost Allocations'!I57</f>
        <v>0</v>
      </c>
      <c r="I57" s="146">
        <f>+G57+H57</f>
        <v>0</v>
      </c>
      <c r="J57" s="6">
        <f>+'Cost Allocations'!L57</f>
        <v>0</v>
      </c>
      <c r="L57" s="6">
        <f>+J57+K57</f>
        <v>0</v>
      </c>
      <c r="O57" s="6">
        <f t="shared" si="15"/>
        <v>0</v>
      </c>
    </row>
    <row r="58" spans="1:15">
      <c r="A58">
        <v>4450</v>
      </c>
      <c r="B58" t="s">
        <v>45</v>
      </c>
      <c r="C58" s="6">
        <f>'Results of Operations Staff '!N58</f>
        <v>3734.3199999999997</v>
      </c>
      <c r="D58" s="121">
        <f>+'Cost Allocations'!F58</f>
        <v>3734.3199999999997</v>
      </c>
      <c r="F58" s="146">
        <f>+D58+E58</f>
        <v>3734.3199999999997</v>
      </c>
      <c r="G58" s="6">
        <f>+'Cost Allocations'!I58</f>
        <v>0</v>
      </c>
      <c r="I58" s="146">
        <f>+G58+H58</f>
        <v>0</v>
      </c>
      <c r="J58" s="6">
        <f>+'Cost Allocations'!L58</f>
        <v>0</v>
      </c>
      <c r="L58" s="6">
        <f>+J58+K58</f>
        <v>0</v>
      </c>
      <c r="O58" s="6">
        <f t="shared" si="15"/>
        <v>0</v>
      </c>
    </row>
    <row r="59" spans="1:15">
      <c r="A59" t="s">
        <v>15</v>
      </c>
      <c r="C59" s="6">
        <f>'Results of Operations Staff '!N59</f>
        <v>0</v>
      </c>
      <c r="D59" s="121"/>
      <c r="F59" s="146"/>
      <c r="G59" s="6"/>
      <c r="I59" s="146"/>
      <c r="J59" s="6"/>
      <c r="L59" s="6"/>
      <c r="O59" s="6">
        <f t="shared" si="15"/>
        <v>0</v>
      </c>
    </row>
    <row r="60" spans="1:15">
      <c r="A60">
        <v>4530</v>
      </c>
      <c r="B60" t="s">
        <v>46</v>
      </c>
      <c r="C60" s="6">
        <f>'Results of Operations Staff '!N60</f>
        <v>63176.698194627927</v>
      </c>
      <c r="D60" s="121">
        <f>+'Cost Allocations'!F60</f>
        <v>49224.880953020125</v>
      </c>
      <c r="F60" s="146">
        <f>+D60+E60</f>
        <v>49224.880953020125</v>
      </c>
      <c r="G60" s="6">
        <f>+'Cost Allocations'!I60</f>
        <v>4856.229985532158</v>
      </c>
      <c r="I60" s="146">
        <f>+G60+H60</f>
        <v>4856.229985532158</v>
      </c>
      <c r="J60" s="6">
        <f>+'Cost Allocations'!L60</f>
        <v>9095.5872560756416</v>
      </c>
      <c r="L60" s="6">
        <f>+J60+K60</f>
        <v>9095.5872560756416</v>
      </c>
      <c r="O60" s="6">
        <f t="shared" si="15"/>
        <v>0</v>
      </c>
    </row>
    <row r="61" spans="1:15">
      <c r="A61">
        <v>4540</v>
      </c>
      <c r="B61" t="s">
        <v>47</v>
      </c>
      <c r="C61" s="6">
        <f>'Results of Operations Staff '!N61</f>
        <v>17297.674417974624</v>
      </c>
      <c r="D61" s="121">
        <f>+'Cost Allocations'!F61</f>
        <v>13477.690166171198</v>
      </c>
      <c r="F61" s="146">
        <f>+D61+E61</f>
        <v>13477.690166171198</v>
      </c>
      <c r="G61" s="6">
        <f>+'Cost Allocations'!I61</f>
        <v>1329.6276568578849</v>
      </c>
      <c r="I61" s="146">
        <f>+G61+H61</f>
        <v>1329.6276568578849</v>
      </c>
      <c r="J61" s="6">
        <f>+'Cost Allocations'!L61</f>
        <v>2490.3565949455401</v>
      </c>
      <c r="L61" s="6">
        <f>+J61+K61</f>
        <v>2490.3565949455401</v>
      </c>
      <c r="O61" s="6">
        <f t="shared" si="15"/>
        <v>0</v>
      </c>
    </row>
    <row r="62" spans="1:15">
      <c r="A62">
        <v>4580</v>
      </c>
      <c r="B62" t="s">
        <v>48</v>
      </c>
      <c r="C62" s="6">
        <f>'Results of Operations Staff '!N62</f>
        <v>0</v>
      </c>
      <c r="D62" s="121">
        <f>+'Cost Allocations'!F62</f>
        <v>0</v>
      </c>
      <c r="F62" s="146">
        <f>+D62+E62</f>
        <v>0</v>
      </c>
      <c r="G62" s="6">
        <f>+'Cost Allocations'!I62</f>
        <v>0</v>
      </c>
      <c r="I62" s="146">
        <f>+G62+H62</f>
        <v>0</v>
      </c>
      <c r="J62" s="6">
        <f>+'Cost Allocations'!L62</f>
        <v>0</v>
      </c>
      <c r="L62" s="6">
        <f>+J62+K62</f>
        <v>0</v>
      </c>
      <c r="O62" s="6">
        <f t="shared" si="15"/>
        <v>0</v>
      </c>
    </row>
    <row r="63" spans="1:15">
      <c r="A63" t="s">
        <v>18</v>
      </c>
      <c r="C63" s="6">
        <f>'Results of Operations Staff '!N63</f>
        <v>0</v>
      </c>
      <c r="D63" s="121"/>
      <c r="F63" s="146"/>
      <c r="G63" s="6"/>
      <c r="I63" s="146"/>
      <c r="J63" s="6"/>
      <c r="L63" s="6"/>
      <c r="O63" s="6">
        <f t="shared" si="15"/>
        <v>0</v>
      </c>
    </row>
    <row r="64" spans="1:15">
      <c r="A64">
        <v>4611</v>
      </c>
      <c r="B64" t="s">
        <v>49</v>
      </c>
      <c r="C64" s="6">
        <f>'Results of Operations Staff '!N64</f>
        <v>61316.368457957367</v>
      </c>
      <c r="D64" s="121">
        <f>+'Cost Allocations'!F64</f>
        <v>45970.395178817285</v>
      </c>
      <c r="F64" s="146">
        <f t="shared" ref="F64:F83" si="16">+D64+E64</f>
        <v>45970.395178817285</v>
      </c>
      <c r="G64" s="6">
        <f>+'Cost Allocations'!I64</f>
        <v>4711.3218852080927</v>
      </c>
      <c r="I64" s="146">
        <f t="shared" ref="I64:I83" si="17">+G64+H64</f>
        <v>4711.3218852080927</v>
      </c>
      <c r="J64" s="6">
        <f>+'Cost Allocations'!L64</f>
        <v>10634.651393931994</v>
      </c>
      <c r="L64" s="6">
        <f t="shared" ref="L64:L83" si="18">+J64+K64</f>
        <v>10634.651393931994</v>
      </c>
      <c r="O64" s="6">
        <f t="shared" si="15"/>
        <v>0</v>
      </c>
    </row>
    <row r="65" spans="1:15">
      <c r="A65">
        <v>4612</v>
      </c>
      <c r="B65" t="s">
        <v>50</v>
      </c>
      <c r="C65" s="6">
        <f>'Results of Operations Staff '!N65</f>
        <v>48942.78561098731</v>
      </c>
      <c r="D65" s="121">
        <f>+'Cost Allocations'!F65</f>
        <v>36693.614646012757</v>
      </c>
      <c r="F65" s="146">
        <f t="shared" si="16"/>
        <v>36693.614646012757</v>
      </c>
      <c r="G65" s="6">
        <f>+'Cost Allocations'!I65</f>
        <v>3760.581762603847</v>
      </c>
      <c r="I65" s="146">
        <f t="shared" si="17"/>
        <v>3760.581762603847</v>
      </c>
      <c r="J65" s="6">
        <f>+'Cost Allocations'!L65</f>
        <v>8488.5892023707111</v>
      </c>
      <c r="L65" s="6">
        <f t="shared" si="18"/>
        <v>8488.5892023707111</v>
      </c>
      <c r="O65" s="6">
        <f t="shared" si="15"/>
        <v>0</v>
      </c>
    </row>
    <row r="66" spans="1:15">
      <c r="A66">
        <v>4613</v>
      </c>
      <c r="B66" t="s">
        <v>51</v>
      </c>
      <c r="C66" s="6">
        <f>'Results of Operations Staff '!N66</f>
        <v>103790.72785852158</v>
      </c>
      <c r="D66" s="121">
        <f>+'Cost Allocations'!F66</f>
        <v>77814.471005810512</v>
      </c>
      <c r="F66" s="146">
        <f t="shared" si="16"/>
        <v>77814.471005810512</v>
      </c>
      <c r="G66" s="6">
        <f>+'Cost Allocations'!I66</f>
        <v>7974.8938161074475</v>
      </c>
      <c r="I66" s="146">
        <f t="shared" si="17"/>
        <v>7974.8938161074475</v>
      </c>
      <c r="J66" s="6">
        <f>+'Cost Allocations'!L66</f>
        <v>18001.363036603634</v>
      </c>
      <c r="L66" s="6">
        <f t="shared" si="18"/>
        <v>18001.363036603634</v>
      </c>
      <c r="O66" s="6">
        <f t="shared" si="15"/>
        <v>0</v>
      </c>
    </row>
    <row r="67" spans="1:15">
      <c r="A67">
        <v>4620</v>
      </c>
      <c r="B67" t="s">
        <v>52</v>
      </c>
      <c r="C67" s="6">
        <f>'Results of Operations Staff '!N67</f>
        <v>38722.715799683676</v>
      </c>
      <c r="D67" s="121">
        <f>+'Cost Allocations'!F67</f>
        <v>29031.376000831588</v>
      </c>
      <c r="F67" s="146">
        <f t="shared" si="16"/>
        <v>29031.376000831588</v>
      </c>
      <c r="G67" s="6">
        <f>+'Cost Allocations'!I67</f>
        <v>2975.3095786622252</v>
      </c>
      <c r="I67" s="146">
        <f t="shared" si="17"/>
        <v>2975.3095786622252</v>
      </c>
      <c r="J67" s="6">
        <f>+'Cost Allocations'!L67</f>
        <v>6716.0302201898667</v>
      </c>
      <c r="L67" s="6">
        <f t="shared" si="18"/>
        <v>6716.0302201898667</v>
      </c>
      <c r="O67" s="6">
        <f t="shared" si="15"/>
        <v>0</v>
      </c>
    </row>
    <row r="68" spans="1:15">
      <c r="A68">
        <v>4622</v>
      </c>
      <c r="B68" t="s">
        <v>53</v>
      </c>
      <c r="C68" s="6">
        <f>'Results of Operations Staff '!N68</f>
        <v>0</v>
      </c>
      <c r="D68" s="121">
        <f>+'Cost Allocations'!F68</f>
        <v>0</v>
      </c>
      <c r="F68" s="146">
        <f t="shared" si="16"/>
        <v>0</v>
      </c>
      <c r="G68" s="6">
        <f>+'Cost Allocations'!I68</f>
        <v>0</v>
      </c>
      <c r="I68" s="146">
        <f t="shared" si="17"/>
        <v>0</v>
      </c>
      <c r="J68" s="6">
        <f>+'Cost Allocations'!L68</f>
        <v>0</v>
      </c>
      <c r="L68" s="6">
        <f t="shared" si="18"/>
        <v>0</v>
      </c>
      <c r="O68" s="6">
        <f t="shared" si="15"/>
        <v>0</v>
      </c>
    </row>
    <row r="69" spans="1:15">
      <c r="A69">
        <v>4624</v>
      </c>
      <c r="B69" t="s">
        <v>54</v>
      </c>
      <c r="C69" s="6">
        <f>'Results of Operations Staff '!N69</f>
        <v>742.10370418842945</v>
      </c>
      <c r="D69" s="121">
        <f>+'Cost Allocations'!F69</f>
        <v>556.37346769154522</v>
      </c>
      <c r="F69" s="146">
        <f t="shared" si="16"/>
        <v>556.37346769154522</v>
      </c>
      <c r="G69" s="6">
        <f>+'Cost Allocations'!I69</f>
        <v>57.020490785168263</v>
      </c>
      <c r="I69" s="146">
        <f t="shared" si="17"/>
        <v>57.020490785168263</v>
      </c>
      <c r="J69" s="6">
        <f>+'Cost Allocations'!L69</f>
        <v>128.70974571171601</v>
      </c>
      <c r="L69" s="6">
        <f t="shared" si="18"/>
        <v>128.70974571171601</v>
      </c>
      <c r="O69" s="6">
        <f t="shared" si="15"/>
        <v>0</v>
      </c>
    </row>
    <row r="70" spans="1:15">
      <c r="A70">
        <v>4625</v>
      </c>
      <c r="B70" t="s">
        <v>55</v>
      </c>
      <c r="C70" s="6">
        <f>'Results of Operations Staff '!N70</f>
        <v>2451.560943724709</v>
      </c>
      <c r="D70" s="121">
        <f>+'Cost Allocations'!F70</f>
        <v>1837.9957623428611</v>
      </c>
      <c r="F70" s="146">
        <f t="shared" si="16"/>
        <v>1837.9957623428611</v>
      </c>
      <c r="G70" s="6">
        <f>+'Cost Allocations'!I70</f>
        <v>188.36883229656934</v>
      </c>
      <c r="I70" s="146">
        <f t="shared" si="17"/>
        <v>188.36883229656934</v>
      </c>
      <c r="J70" s="6">
        <f>+'Cost Allocations'!L70</f>
        <v>425.19634908527865</v>
      </c>
      <c r="L70" s="6">
        <f t="shared" si="18"/>
        <v>425.19634908527865</v>
      </c>
      <c r="O70" s="6">
        <f t="shared" si="15"/>
        <v>0</v>
      </c>
    </row>
    <row r="71" spans="1:15">
      <c r="A71">
        <v>4627</v>
      </c>
      <c r="B71" t="s">
        <v>56</v>
      </c>
      <c r="C71" s="6">
        <f>'Results of Operations Staff '!N71</f>
        <v>574.4896625990599</v>
      </c>
      <c r="D71" s="121">
        <f>+'Cost Allocations'!F71</f>
        <v>430.70908274570007</v>
      </c>
      <c r="F71" s="146">
        <f t="shared" si="16"/>
        <v>430.70908274570007</v>
      </c>
      <c r="G71" s="6">
        <f>+'Cost Allocations'!I71</f>
        <v>44.141650725525189</v>
      </c>
      <c r="I71" s="146">
        <f t="shared" si="17"/>
        <v>44.141650725525189</v>
      </c>
      <c r="J71" s="6">
        <f>+'Cost Allocations'!L71</f>
        <v>99.6389291278347</v>
      </c>
      <c r="L71" s="6">
        <f t="shared" si="18"/>
        <v>99.6389291278347</v>
      </c>
      <c r="O71" s="6">
        <f t="shared" si="15"/>
        <v>0</v>
      </c>
    </row>
    <row r="72" spans="1:15">
      <c r="A72">
        <v>4628</v>
      </c>
      <c r="B72" s="643" t="s">
        <v>1308</v>
      </c>
      <c r="C72" s="6">
        <f>'Results of Operations Staff '!N72</f>
        <v>22110.411553996175</v>
      </c>
      <c r="D72" s="121">
        <f>+'Cost Allocations'!F72</f>
        <v>16576.721392109528</v>
      </c>
      <c r="F72" s="146">
        <f t="shared" ref="F72" si="19">+D72+E72</f>
        <v>16576.721392109528</v>
      </c>
      <c r="G72" s="6">
        <f>+'Cost Allocations'!I72</f>
        <v>1698.8818559390959</v>
      </c>
      <c r="I72" s="146">
        <f t="shared" ref="I72" si="20">+G72+H72</f>
        <v>1698.8818559390959</v>
      </c>
      <c r="J72" s="6">
        <f>+'Cost Allocations'!L72</f>
        <v>3834.8083059475534</v>
      </c>
      <c r="L72" s="6">
        <f t="shared" ref="L72" si="21">+J72+K72</f>
        <v>3834.8083059475534</v>
      </c>
      <c r="O72" s="6">
        <f t="shared" ref="O72" si="22">+C72-D72-G72-J72</f>
        <v>0</v>
      </c>
    </row>
    <row r="73" spans="1:15">
      <c r="A73">
        <v>4630</v>
      </c>
      <c r="B73" t="s">
        <v>57</v>
      </c>
      <c r="C73" s="6">
        <f>'Results of Operations Staff '!N73</f>
        <v>419.15486250556802</v>
      </c>
      <c r="D73" s="121">
        <f>+'Cost Allocations'!F73</f>
        <v>314.25074829269636</v>
      </c>
      <c r="F73" s="146">
        <f t="shared" si="16"/>
        <v>314.25074829269636</v>
      </c>
      <c r="G73" s="6">
        <f>+'Cost Allocations'!I73</f>
        <v>32.206301949664699</v>
      </c>
      <c r="I73" s="146">
        <f t="shared" si="17"/>
        <v>32.206301949664699</v>
      </c>
      <c r="J73" s="6">
        <f>+'Cost Allocations'!L73</f>
        <v>72.697812263206998</v>
      </c>
      <c r="L73" s="6">
        <f t="shared" si="18"/>
        <v>72.697812263206998</v>
      </c>
      <c r="O73" s="6">
        <f t="shared" si="15"/>
        <v>0</v>
      </c>
    </row>
    <row r="74" spans="1:15">
      <c r="A74">
        <v>4640</v>
      </c>
      <c r="B74" t="s">
        <v>58</v>
      </c>
      <c r="C74" s="6">
        <f>'Results of Operations Staff '!N74</f>
        <v>12203.498216247108</v>
      </c>
      <c r="D74" s="121">
        <f>+'Cost Allocations'!F74</f>
        <v>9149.2638861926498</v>
      </c>
      <c r="F74" s="146">
        <f t="shared" si="16"/>
        <v>9149.2638861926498</v>
      </c>
      <c r="G74" s="6">
        <f>+'Cost Allocations'!I74</f>
        <v>937.67145165691102</v>
      </c>
      <c r="I74" s="146">
        <f t="shared" si="17"/>
        <v>937.67145165691102</v>
      </c>
      <c r="J74" s="6">
        <f>+'Cost Allocations'!L74</f>
        <v>2116.5628783975485</v>
      </c>
      <c r="L74" s="6">
        <f t="shared" si="18"/>
        <v>2116.5628783975485</v>
      </c>
      <c r="O74" s="6">
        <f t="shared" si="15"/>
        <v>0</v>
      </c>
    </row>
    <row r="75" spans="1:15">
      <c r="A75">
        <v>4642</v>
      </c>
      <c r="B75" t="s">
        <v>1399</v>
      </c>
      <c r="C75" s="6">
        <f>'Results of Operations Staff '!N75</f>
        <v>0</v>
      </c>
      <c r="D75" s="121">
        <f>+'Cost Allocations'!F75</f>
        <v>0</v>
      </c>
      <c r="F75" s="146">
        <f t="shared" ref="F75" si="23">+D75+E75</f>
        <v>0</v>
      </c>
      <c r="G75" s="6">
        <f>+'Cost Allocations'!I75</f>
        <v>0</v>
      </c>
      <c r="I75" s="146">
        <f t="shared" ref="I75" si="24">+G75+H75</f>
        <v>0</v>
      </c>
      <c r="J75" s="6">
        <f>+'Cost Allocations'!L75</f>
        <v>0</v>
      </c>
      <c r="L75" s="6">
        <f t="shared" ref="L75" si="25">+J75+K75</f>
        <v>0</v>
      </c>
      <c r="O75" s="6">
        <f t="shared" ref="O75" si="26">+C75-D75-G75-J75</f>
        <v>0</v>
      </c>
    </row>
    <row r="76" spans="1:15">
      <c r="A76">
        <v>4650</v>
      </c>
      <c r="B76" t="s">
        <v>59</v>
      </c>
      <c r="C76" s="6">
        <f>'Results of Operations Staff '!N76</f>
        <v>83555.048843052791</v>
      </c>
      <c r="D76" s="121">
        <f>+'Cost Allocations'!F76</f>
        <v>62643.28288023459</v>
      </c>
      <c r="F76" s="146">
        <f t="shared" si="16"/>
        <v>62643.28288023459</v>
      </c>
      <c r="G76" s="6">
        <f>+'Cost Allocations'!I76</f>
        <v>6420.0594414495035</v>
      </c>
      <c r="I76" s="146">
        <f t="shared" si="17"/>
        <v>6420.0594414495035</v>
      </c>
      <c r="J76" s="6">
        <f>+'Cost Allocations'!L76</f>
        <v>14491.706521368706</v>
      </c>
      <c r="L76" s="6">
        <f t="shared" si="18"/>
        <v>14491.706521368706</v>
      </c>
      <c r="O76" s="6">
        <f t="shared" si="15"/>
        <v>0</v>
      </c>
    </row>
    <row r="77" spans="1:15">
      <c r="A77">
        <v>4652</v>
      </c>
      <c r="B77" t="s">
        <v>60</v>
      </c>
      <c r="C77" s="6">
        <f>'Results of Operations Staff '!N77</f>
        <v>8529.2425788382989</v>
      </c>
      <c r="D77" s="121">
        <f>+'Cost Allocations'!F77</f>
        <v>6394.5837267586448</v>
      </c>
      <c r="F77" s="146">
        <f t="shared" si="16"/>
        <v>6394.5837267586448</v>
      </c>
      <c r="G77" s="6">
        <f>+'Cost Allocations'!I77</f>
        <v>655.35530293974352</v>
      </c>
      <c r="I77" s="146">
        <f t="shared" si="17"/>
        <v>655.35530293974352</v>
      </c>
      <c r="J77" s="6">
        <f>+'Cost Allocations'!L77</f>
        <v>1479.303549139911</v>
      </c>
      <c r="L77" s="6">
        <f t="shared" si="18"/>
        <v>1479.303549139911</v>
      </c>
      <c r="O77" s="6">
        <f t="shared" si="15"/>
        <v>0</v>
      </c>
    </row>
    <row r="78" spans="1:15">
      <c r="A78">
        <v>4660</v>
      </c>
      <c r="B78" t="s">
        <v>61</v>
      </c>
      <c r="C78" s="6">
        <f>'Results of Operations Staff '!N78</f>
        <v>0</v>
      </c>
      <c r="D78" s="121">
        <f>+'Cost Allocations'!F78</f>
        <v>0</v>
      </c>
      <c r="F78" s="146">
        <f t="shared" si="16"/>
        <v>0</v>
      </c>
      <c r="G78" s="6">
        <f>+'Cost Allocations'!I78</f>
        <v>0</v>
      </c>
      <c r="I78" s="146">
        <f t="shared" si="17"/>
        <v>0</v>
      </c>
      <c r="J78" s="6">
        <f>+'Cost Allocations'!L78</f>
        <v>0</v>
      </c>
      <c r="L78" s="6">
        <f t="shared" si="18"/>
        <v>0</v>
      </c>
      <c r="O78" s="6">
        <f t="shared" ref="O78:O104" si="27">+C78-D78-G78-J78</f>
        <v>0</v>
      </c>
    </row>
    <row r="79" spans="1:15">
      <c r="A79">
        <v>4670</v>
      </c>
      <c r="B79" t="s">
        <v>62</v>
      </c>
      <c r="C79" s="6">
        <f>'Results of Operations Staff '!N79</f>
        <v>0</v>
      </c>
      <c r="D79" s="121">
        <f>+'Cost Allocations'!F79</f>
        <v>0</v>
      </c>
      <c r="F79" s="146">
        <f t="shared" si="16"/>
        <v>0</v>
      </c>
      <c r="G79" s="6">
        <f>+'Cost Allocations'!I79</f>
        <v>0</v>
      </c>
      <c r="I79" s="146">
        <f t="shared" si="17"/>
        <v>0</v>
      </c>
      <c r="J79" s="6">
        <f>+'Cost Allocations'!L79</f>
        <v>0</v>
      </c>
      <c r="L79" s="6">
        <f t="shared" si="18"/>
        <v>0</v>
      </c>
      <c r="O79" s="6">
        <f t="shared" si="27"/>
        <v>0</v>
      </c>
    </row>
    <row r="80" spans="1:15">
      <c r="A80">
        <v>4680</v>
      </c>
      <c r="B80" t="s">
        <v>63</v>
      </c>
      <c r="C80" s="6">
        <f>'Results of Operations Staff '!N80</f>
        <v>12945.166303638069</v>
      </c>
      <c r="D80" s="121">
        <f>+'Cost Allocations'!F80</f>
        <v>9505.295111388039</v>
      </c>
      <c r="F80" s="146">
        <f t="shared" si="16"/>
        <v>9505.295111388039</v>
      </c>
      <c r="G80" s="6">
        <f>+'Cost Allocations'!I80</f>
        <v>774.3623673858209</v>
      </c>
      <c r="I80" s="146">
        <f t="shared" si="17"/>
        <v>774.3623673858209</v>
      </c>
      <c r="J80" s="6">
        <f>+'Cost Allocations'!L80</f>
        <v>2665.5088248642087</v>
      </c>
      <c r="L80" s="6">
        <f t="shared" si="18"/>
        <v>2665.5088248642087</v>
      </c>
      <c r="O80" s="6">
        <f t="shared" si="27"/>
        <v>0</v>
      </c>
    </row>
    <row r="81" spans="1:15">
      <c r="A81">
        <v>4692</v>
      </c>
      <c r="B81" t="s">
        <v>64</v>
      </c>
      <c r="C81" s="6">
        <f>'Results of Operations Staff '!N81</f>
        <v>9264.1368193916351</v>
      </c>
      <c r="D81" s="121">
        <f>+'Cost Allocations'!F81</f>
        <v>6945.552081579558</v>
      </c>
      <c r="F81" s="146">
        <f t="shared" si="16"/>
        <v>6945.552081579558</v>
      </c>
      <c r="G81" s="6">
        <f>+'Cost Allocations'!I81</f>
        <v>711.82184533137774</v>
      </c>
      <c r="I81" s="146">
        <f t="shared" si="17"/>
        <v>711.82184533137774</v>
      </c>
      <c r="J81" s="6">
        <f>+'Cost Allocations'!L81</f>
        <v>1606.7628924807004</v>
      </c>
      <c r="L81" s="6">
        <f t="shared" si="18"/>
        <v>1606.7628924807004</v>
      </c>
      <c r="O81" s="6">
        <f t="shared" si="27"/>
        <v>0</v>
      </c>
    </row>
    <row r="82" spans="1:15">
      <c r="A82">
        <v>4694</v>
      </c>
      <c r="B82" t="s">
        <v>65</v>
      </c>
      <c r="C82" s="6">
        <f>'Results of Operations Staff '!N82</f>
        <v>0</v>
      </c>
      <c r="D82" s="121">
        <f>+'Cost Allocations'!F82</f>
        <v>0</v>
      </c>
      <c r="F82" s="146">
        <f t="shared" si="16"/>
        <v>0</v>
      </c>
      <c r="G82" s="6">
        <f>+'Cost Allocations'!I82</f>
        <v>0</v>
      </c>
      <c r="I82" s="146">
        <f t="shared" si="17"/>
        <v>0</v>
      </c>
      <c r="J82" s="6">
        <f>+'Cost Allocations'!L82</f>
        <v>0</v>
      </c>
      <c r="L82" s="6">
        <f t="shared" si="18"/>
        <v>0</v>
      </c>
      <c r="O82" s="6">
        <f t="shared" si="27"/>
        <v>0</v>
      </c>
    </row>
    <row r="83" spans="1:15">
      <c r="A83">
        <v>4698</v>
      </c>
      <c r="B83" t="s">
        <v>66</v>
      </c>
      <c r="C83" s="6">
        <f>'Results of Operations Staff '!N83</f>
        <v>678.60773044544305</v>
      </c>
      <c r="D83" s="121">
        <f>+'Cost Allocations'!F83</f>
        <v>508.76896862160589</v>
      </c>
      <c r="F83" s="146">
        <f t="shared" si="16"/>
        <v>508.76896862160589</v>
      </c>
      <c r="G83" s="6">
        <f>+'Cost Allocations'!I83</f>
        <v>52.141696129821909</v>
      </c>
      <c r="I83" s="146">
        <f t="shared" si="17"/>
        <v>52.141696129821909</v>
      </c>
      <c r="J83" s="6">
        <f>+'Cost Allocations'!L83</f>
        <v>117.69706569401532</v>
      </c>
      <c r="L83" s="6">
        <f t="shared" si="18"/>
        <v>117.69706569401532</v>
      </c>
      <c r="O83" s="6">
        <f t="shared" si="27"/>
        <v>0</v>
      </c>
    </row>
    <row r="84" spans="1:15">
      <c r="A84" t="s">
        <v>19</v>
      </c>
      <c r="C84" s="6">
        <f>'Results of Operations Staff '!N84</f>
        <v>0</v>
      </c>
      <c r="D84" s="121"/>
      <c r="F84" s="146"/>
      <c r="G84" s="6"/>
      <c r="I84" s="146"/>
      <c r="J84" s="6"/>
      <c r="L84" s="6"/>
      <c r="O84" s="6">
        <f t="shared" si="27"/>
        <v>0</v>
      </c>
    </row>
    <row r="85" spans="1:15">
      <c r="A85">
        <v>5010</v>
      </c>
      <c r="B85" t="s">
        <v>67</v>
      </c>
      <c r="C85" s="6">
        <f>'Results of Operations Staff '!N85</f>
        <v>224482.10791624035</v>
      </c>
      <c r="D85" s="121">
        <f>+'Cost Allocations'!F85</f>
        <v>175655.00270940561</v>
      </c>
      <c r="F85" s="146">
        <f>+D85+E85</f>
        <v>175655.00270940561</v>
      </c>
      <c r="G85" s="6">
        <f>+'Cost Allocations'!I85</f>
        <v>15660.973402702075</v>
      </c>
      <c r="I85" s="146">
        <f>+G85+H85</f>
        <v>15660.973402702075</v>
      </c>
      <c r="J85" s="6">
        <f>+'Cost Allocations'!L85</f>
        <v>33166.131804132696</v>
      </c>
      <c r="L85" s="6">
        <f>+J85+K85</f>
        <v>33166.131804132696</v>
      </c>
      <c r="O85" s="6">
        <f t="shared" si="27"/>
        <v>0</v>
      </c>
    </row>
    <row r="86" spans="1:15">
      <c r="A86">
        <v>5100</v>
      </c>
      <c r="B86" t="s">
        <v>68</v>
      </c>
      <c r="C86" s="6">
        <f>'Results of Operations Staff '!N86</f>
        <v>-6583.3939991542074</v>
      </c>
      <c r="D86" s="121">
        <f>+'Cost Allocations'!F86</f>
        <v>-5151.439914267019</v>
      </c>
      <c r="F86" s="146">
        <f>+D86+E86</f>
        <v>-5151.439914267019</v>
      </c>
      <c r="G86" s="6">
        <f>+'Cost Allocations'!I86</f>
        <v>-459.28987070422755</v>
      </c>
      <c r="I86" s="146">
        <f>+G86+H86</f>
        <v>-459.28987070422755</v>
      </c>
      <c r="J86" s="6">
        <f>+'Cost Allocations'!L86</f>
        <v>-972.66421418296159</v>
      </c>
      <c r="L86" s="6">
        <f>+J86+K86</f>
        <v>-972.66421418296159</v>
      </c>
      <c r="O86" s="6">
        <f t="shared" si="27"/>
        <v>0</v>
      </c>
    </row>
    <row r="87" spans="1:15">
      <c r="A87" t="s">
        <v>20</v>
      </c>
      <c r="C87" s="6">
        <f>'Results of Operations Staff '!N87</f>
        <v>0</v>
      </c>
      <c r="D87" s="121"/>
      <c r="F87" s="146"/>
      <c r="G87" s="6"/>
      <c r="I87" s="146"/>
      <c r="J87" s="6"/>
      <c r="L87" s="6"/>
      <c r="O87" s="6">
        <f t="shared" si="27"/>
        <v>0</v>
      </c>
    </row>
    <row r="88" spans="1:15">
      <c r="A88">
        <v>5151</v>
      </c>
      <c r="B88" t="s">
        <v>69</v>
      </c>
      <c r="C88" s="6">
        <f>'Results of Operations Staff '!N88</f>
        <v>0</v>
      </c>
      <c r="D88" s="121">
        <f>+'Cost Allocations'!F88</f>
        <v>0</v>
      </c>
      <c r="F88" s="146">
        <f>+D88+E88</f>
        <v>0</v>
      </c>
      <c r="G88" s="6">
        <f>+'Cost Allocations'!I88</f>
        <v>0</v>
      </c>
      <c r="I88" s="146">
        <f>+G88+H88</f>
        <v>0</v>
      </c>
      <c r="J88" s="6">
        <f>+'Cost Allocations'!L88</f>
        <v>0</v>
      </c>
      <c r="L88" s="6">
        <f>+J88+K88</f>
        <v>0</v>
      </c>
      <c r="O88" s="6">
        <f t="shared" si="27"/>
        <v>0</v>
      </c>
    </row>
    <row r="89" spans="1:15">
      <c r="A89" t="s">
        <v>21</v>
      </c>
      <c r="C89" s="6">
        <f>'Results of Operations Staff '!N89</f>
        <v>0</v>
      </c>
      <c r="D89" s="121"/>
      <c r="F89" s="146"/>
      <c r="G89" s="6"/>
      <c r="I89" s="146"/>
      <c r="J89" s="6"/>
      <c r="L89" s="6"/>
      <c r="O89" s="6">
        <f t="shared" si="27"/>
        <v>0</v>
      </c>
    </row>
    <row r="90" spans="1:15">
      <c r="A90">
        <v>5220</v>
      </c>
      <c r="B90" t="s">
        <v>70</v>
      </c>
      <c r="C90" s="6">
        <f>'Results of Operations Staff '!N90</f>
        <v>4802.1799175756814</v>
      </c>
      <c r="D90" s="121">
        <f>+'Cost Allocations'!F90</f>
        <v>3741.6759899261001</v>
      </c>
      <c r="F90" s="146">
        <f t="shared" ref="F90:F97" si="28">+D90+E90</f>
        <v>3741.6759899261001</v>
      </c>
      <c r="G90" s="6">
        <f>+'Cost Allocations'!I90</f>
        <v>369.13119517275391</v>
      </c>
      <c r="I90" s="146">
        <f t="shared" ref="I90:I97" si="29">+G90+H90</f>
        <v>369.13119517275391</v>
      </c>
      <c r="J90" s="6">
        <f>+'Cost Allocations'!L90</f>
        <v>691.3727324768272</v>
      </c>
      <c r="L90" s="6">
        <f t="shared" ref="L90:L97" si="30">+J90+K90</f>
        <v>691.3727324768272</v>
      </c>
      <c r="O90" s="6">
        <f t="shared" si="27"/>
        <v>0</v>
      </c>
    </row>
    <row r="91" spans="1:15">
      <c r="A91">
        <v>5230</v>
      </c>
      <c r="B91" t="s">
        <v>71</v>
      </c>
      <c r="C91" s="6">
        <f>'Results of Operations Staff '!N91</f>
        <v>2193.8839694656485</v>
      </c>
      <c r="D91" s="121">
        <f>+'Cost Allocations'!F91</f>
        <v>1798.9848549618316</v>
      </c>
      <c r="F91" s="146">
        <f t="shared" si="28"/>
        <v>1798.9848549618316</v>
      </c>
      <c r="G91" s="6">
        <f>+'Cost Allocations'!I91</f>
        <v>87.755358778625947</v>
      </c>
      <c r="I91" s="146">
        <f t="shared" si="29"/>
        <v>87.755358778625947</v>
      </c>
      <c r="J91" s="6">
        <f>+'Cost Allocations'!L91</f>
        <v>285.20491603053432</v>
      </c>
      <c r="L91" s="6">
        <f t="shared" si="30"/>
        <v>285.20491603053432</v>
      </c>
      <c r="O91" s="6">
        <f t="shared" si="27"/>
        <v>21.938839694656679</v>
      </c>
    </row>
    <row r="92" spans="1:15">
      <c r="A92">
        <v>5240</v>
      </c>
      <c r="B92" t="s">
        <v>72</v>
      </c>
      <c r="C92" s="6">
        <f>'Results of Operations Staff '!N92</f>
        <v>45712.677850900938</v>
      </c>
      <c r="D92" s="121">
        <f>+'Cost Allocations'!F92</f>
        <v>35617.580366770395</v>
      </c>
      <c r="F92" s="146">
        <f t="shared" si="28"/>
        <v>35617.580366770395</v>
      </c>
      <c r="G92" s="6">
        <f>+'Cost Allocations'!I92</f>
        <v>3513.8157460307625</v>
      </c>
      <c r="I92" s="146">
        <f t="shared" si="29"/>
        <v>3513.8157460307625</v>
      </c>
      <c r="J92" s="6">
        <f>+'Cost Allocations'!L92</f>
        <v>6581.2817380997758</v>
      </c>
      <c r="L92" s="6">
        <f t="shared" si="30"/>
        <v>6581.2817380997758</v>
      </c>
      <c r="O92" s="6">
        <f t="shared" si="27"/>
        <v>0</v>
      </c>
    </row>
    <row r="93" spans="1:15">
      <c r="A93">
        <v>5241</v>
      </c>
      <c r="B93" t="s">
        <v>73</v>
      </c>
      <c r="C93" s="6">
        <f>'Results of Operations Staff '!N93</f>
        <v>344.8135653833649</v>
      </c>
      <c r="D93" s="121">
        <f>+'Cost Allocations'!F93</f>
        <v>268.66561868574905</v>
      </c>
      <c r="F93" s="146">
        <f t="shared" si="28"/>
        <v>268.66561868574905</v>
      </c>
      <c r="G93" s="6">
        <f>+'Cost Allocations'!I93</f>
        <v>26.504930195534282</v>
      </c>
      <c r="I93" s="146">
        <f t="shared" si="29"/>
        <v>26.504930195534282</v>
      </c>
      <c r="J93" s="6">
        <f>+'Cost Allocations'!L93</f>
        <v>49.643016502081537</v>
      </c>
      <c r="L93" s="6">
        <f t="shared" si="30"/>
        <v>49.643016502081537</v>
      </c>
      <c r="O93" s="6">
        <f t="shared" si="27"/>
        <v>0</v>
      </c>
    </row>
    <row r="94" spans="1:15">
      <c r="A94">
        <v>5242</v>
      </c>
      <c r="B94" t="s">
        <v>74</v>
      </c>
      <c r="C94" s="6">
        <f>'Results of Operations Staff '!N94</f>
        <v>5038.6491511453441</v>
      </c>
      <c r="D94" s="121">
        <f>+'Cost Allocations'!F94</f>
        <v>3925.9238250323092</v>
      </c>
      <c r="F94" s="146">
        <f t="shared" si="28"/>
        <v>3925.9238250323092</v>
      </c>
      <c r="G94" s="6">
        <f>+'Cost Allocations'!I94</f>
        <v>387.30797578226117</v>
      </c>
      <c r="I94" s="146">
        <f t="shared" si="29"/>
        <v>387.30797578226117</v>
      </c>
      <c r="J94" s="6">
        <f>+'Cost Allocations'!L94</f>
        <v>725.41735033077339</v>
      </c>
      <c r="L94" s="6">
        <f t="shared" si="30"/>
        <v>725.41735033077339</v>
      </c>
      <c r="O94" s="6">
        <f t="shared" si="27"/>
        <v>0</v>
      </c>
    </row>
    <row r="95" spans="1:15">
      <c r="A95">
        <v>5260</v>
      </c>
      <c r="B95" t="s">
        <v>75</v>
      </c>
      <c r="C95" s="6">
        <f>'Results of Operations Staff '!N95</f>
        <v>46500.989534882639</v>
      </c>
      <c r="D95" s="121">
        <f>+'Cost Allocations'!F95</f>
        <v>34144.453468813794</v>
      </c>
      <c r="E95" s="47">
        <f>+E21*'General Data'!$E$10</f>
        <v>1643.9412500000001</v>
      </c>
      <c r="F95" s="146">
        <f t="shared" si="28"/>
        <v>35788.394718813797</v>
      </c>
      <c r="G95" s="6">
        <f>+'Cost Allocations'!I95</f>
        <v>2781.6263999555767</v>
      </c>
      <c r="H95" s="47">
        <f ca="1">+H21*'General Data'!$E$10</f>
        <v>598.84168876517117</v>
      </c>
      <c r="I95" s="146">
        <f t="shared" ca="1" si="29"/>
        <v>3380.4680887207478</v>
      </c>
      <c r="J95" s="6">
        <f>+'Cost Allocations'!L95</f>
        <v>9574.9096661132662</v>
      </c>
      <c r="K95" s="47">
        <f ca="1">+K21*'General Data'!$E$10</f>
        <v>-1146.4989896029172</v>
      </c>
      <c r="L95" s="6">
        <f t="shared" ca="1" si="30"/>
        <v>8428.4106765103497</v>
      </c>
      <c r="O95" s="6">
        <f t="shared" si="27"/>
        <v>0</v>
      </c>
    </row>
    <row r="96" spans="1:15">
      <c r="A96">
        <v>5270</v>
      </c>
      <c r="B96" t="s">
        <v>76</v>
      </c>
      <c r="C96" s="6">
        <f>'Results of Operations Staff '!N96</f>
        <v>7990.68</v>
      </c>
      <c r="D96" s="121">
        <f>+'Cost Allocations'!F96</f>
        <v>0</v>
      </c>
      <c r="F96" s="146">
        <f t="shared" si="28"/>
        <v>0</v>
      </c>
      <c r="G96" s="6">
        <f>+'Cost Allocations'!I96</f>
        <v>7990.68</v>
      </c>
      <c r="I96" s="146">
        <f t="shared" si="29"/>
        <v>7990.68</v>
      </c>
      <c r="J96" s="6">
        <f>+'Cost Allocations'!L96</f>
        <v>0</v>
      </c>
      <c r="L96" s="6">
        <f t="shared" si="30"/>
        <v>0</v>
      </c>
      <c r="O96" s="6">
        <f t="shared" si="27"/>
        <v>0</v>
      </c>
    </row>
    <row r="97" spans="1:15">
      <c r="A97">
        <v>5290</v>
      </c>
      <c r="B97" t="s">
        <v>77</v>
      </c>
      <c r="C97" s="6">
        <f>'Results of Operations Staff '!N97</f>
        <v>197.63655157320761</v>
      </c>
      <c r="D97" s="121">
        <f>+'Cost Allocations'!F97</f>
        <v>153.9908858988743</v>
      </c>
      <c r="F97" s="146">
        <f t="shared" si="28"/>
        <v>153.9908858988743</v>
      </c>
      <c r="G97" s="6">
        <f>+'Cost Allocations'!I97</f>
        <v>15.19181241523944</v>
      </c>
      <c r="I97" s="146">
        <f t="shared" si="29"/>
        <v>15.19181241523944</v>
      </c>
      <c r="J97" s="6">
        <f>+'Cost Allocations'!L97</f>
        <v>28.453853259093869</v>
      </c>
      <c r="L97" s="6">
        <f t="shared" si="30"/>
        <v>28.453853259093869</v>
      </c>
      <c r="O97" s="6">
        <f t="shared" si="27"/>
        <v>0</v>
      </c>
    </row>
    <row r="98" spans="1:15">
      <c r="A98" t="s">
        <v>22</v>
      </c>
      <c r="C98" s="6">
        <f>'Results of Operations Staff '!N98</f>
        <v>0</v>
      </c>
      <c r="D98" s="121"/>
      <c r="F98" s="146"/>
      <c r="G98" s="6"/>
      <c r="I98" s="146"/>
      <c r="J98" s="6"/>
      <c r="L98" s="6"/>
      <c r="O98" s="6">
        <f t="shared" si="27"/>
        <v>0</v>
      </c>
    </row>
    <row r="99" spans="1:15">
      <c r="A99">
        <v>5320</v>
      </c>
      <c r="B99" t="s">
        <v>78</v>
      </c>
      <c r="C99" s="6">
        <f>'Results of Operations Staff '!N99</f>
        <v>80019.48034223057</v>
      </c>
      <c r="D99" s="121">
        <f>+'Cost Allocations'!F99</f>
        <v>59992.579890933805</v>
      </c>
      <c r="F99" s="146">
        <f>+D99+E99</f>
        <v>59992.579890933805</v>
      </c>
      <c r="G99" s="6">
        <f>+'Cost Allocations'!I99</f>
        <v>6148.3994969112455</v>
      </c>
      <c r="I99" s="146">
        <f>+G99+H99</f>
        <v>6148.3994969112455</v>
      </c>
      <c r="J99" s="6">
        <f>+'Cost Allocations'!L99</f>
        <v>13878.50095438553</v>
      </c>
      <c r="L99" s="6">
        <f>+J99+K99</f>
        <v>13878.50095438553</v>
      </c>
      <c r="O99" s="6">
        <f t="shared" si="27"/>
        <v>0</v>
      </c>
    </row>
    <row r="100" spans="1:15" ht="13.5" thickBot="1">
      <c r="A100">
        <v>5322</v>
      </c>
      <c r="B100" s="83" t="s">
        <v>370</v>
      </c>
      <c r="C100" s="149">
        <f>'Results of Operations Staff '!N100</f>
        <v>0</v>
      </c>
      <c r="D100" s="150">
        <f>+'Cost Allocations'!F100</f>
        <v>0</v>
      </c>
      <c r="E100" s="5"/>
      <c r="F100" s="149">
        <f>+D100+E100</f>
        <v>0</v>
      </c>
      <c r="G100" s="7">
        <f>+'Cost Allocations'!I100</f>
        <v>0</v>
      </c>
      <c r="H100" s="5"/>
      <c r="I100" s="149">
        <f>+G100+H100</f>
        <v>0</v>
      </c>
      <c r="J100" s="7">
        <f>+'Cost Allocations'!L100</f>
        <v>0</v>
      </c>
      <c r="K100" s="5"/>
      <c r="L100" s="7">
        <f>+J100+K100</f>
        <v>0</v>
      </c>
      <c r="O100" s="6">
        <f t="shared" si="27"/>
        <v>0</v>
      </c>
    </row>
    <row r="101" spans="1:15">
      <c r="D101" s="118"/>
      <c r="F101" s="144"/>
      <c r="I101" s="144"/>
      <c r="O101" s="6">
        <f t="shared" si="27"/>
        <v>0</v>
      </c>
    </row>
    <row r="102" spans="1:15" ht="13.5" thickBot="1">
      <c r="B102" t="s">
        <v>23</v>
      </c>
      <c r="C102" s="151">
        <f t="shared" ref="C102:L102" si="31">SUM(C25:C100)</f>
        <v>2506670.755072555</v>
      </c>
      <c r="D102" s="150">
        <f t="shared" si="31"/>
        <v>1885921.742040544</v>
      </c>
      <c r="E102" s="7">
        <f t="shared" si="31"/>
        <v>1643.9412500000001</v>
      </c>
      <c r="F102" s="149">
        <f t="shared" si="31"/>
        <v>1887565.683290544</v>
      </c>
      <c r="G102" s="7">
        <f t="shared" si="31"/>
        <v>176156.5801510707</v>
      </c>
      <c r="H102" s="7">
        <f t="shared" ca="1" si="31"/>
        <v>598.84168876517117</v>
      </c>
      <c r="I102" s="149">
        <f t="shared" ca="1" si="31"/>
        <v>176755.42183983588</v>
      </c>
      <c r="J102" s="7">
        <f t="shared" si="31"/>
        <v>444492.17346719833</v>
      </c>
      <c r="K102" s="7">
        <f t="shared" ca="1" si="31"/>
        <v>-1146.4989896029172</v>
      </c>
      <c r="L102" s="7">
        <f t="shared" ca="1" si="31"/>
        <v>443345.67447759543</v>
      </c>
      <c r="O102" s="6">
        <f t="shared" si="27"/>
        <v>100.25941374193644</v>
      </c>
    </row>
    <row r="103" spans="1:15">
      <c r="C103" s="6"/>
      <c r="D103" s="121"/>
      <c r="F103" s="144"/>
      <c r="G103" s="6"/>
      <c r="I103" s="144"/>
      <c r="J103" s="6"/>
      <c r="O103" s="6">
        <f t="shared" si="27"/>
        <v>0</v>
      </c>
    </row>
    <row r="104" spans="1:15" ht="13.5" thickBot="1">
      <c r="B104" t="s">
        <v>24</v>
      </c>
      <c r="C104" s="7">
        <f t="shared" ref="C104:L104" si="32">+C21-C102</f>
        <v>121767.78592744516</v>
      </c>
      <c r="D104" s="150">
        <f t="shared" si="32"/>
        <v>44071.541037616553</v>
      </c>
      <c r="E104" s="7">
        <f t="shared" si="32"/>
        <v>92295.558749999997</v>
      </c>
      <c r="F104" s="149">
        <f t="shared" si="32"/>
        <v>136367.09978761664</v>
      </c>
      <c r="G104" s="7">
        <f t="shared" si="32"/>
        <v>-18926.936020127323</v>
      </c>
      <c r="H104" s="7">
        <f t="shared" ca="1" si="32"/>
        <v>33620.683383530326</v>
      </c>
      <c r="I104" s="149">
        <f t="shared" ca="1" si="32"/>
        <v>14693.747363402974</v>
      </c>
      <c r="J104" s="7">
        <f t="shared" si="32"/>
        <v>96723.440323697927</v>
      </c>
      <c r="K104" s="7">
        <f t="shared" ca="1" si="32"/>
        <v>-64367.728987706629</v>
      </c>
      <c r="L104" s="7">
        <f t="shared" ca="1" si="32"/>
        <v>32355.711335991276</v>
      </c>
      <c r="O104" s="6">
        <f t="shared" si="27"/>
        <v>-100.25941374199465</v>
      </c>
    </row>
    <row r="105" spans="1:15">
      <c r="C105" s="6"/>
      <c r="D105" s="121"/>
      <c r="F105" s="144"/>
      <c r="G105" s="6"/>
      <c r="I105" s="144"/>
      <c r="J105" s="6"/>
      <c r="O105" s="6"/>
    </row>
    <row r="106" spans="1:15">
      <c r="B106" t="s">
        <v>102</v>
      </c>
      <c r="C106" s="10">
        <f>+C102/C21</f>
        <v>0.95367295676576169</v>
      </c>
      <c r="D106" s="145">
        <f>+D102/D21</f>
        <v>0.97716492517148734</v>
      </c>
      <c r="F106" s="148">
        <f>+F102/F21</f>
        <v>0.93262271310205347</v>
      </c>
      <c r="G106" s="10">
        <f>+G102/G21</f>
        <v>1.1203776560377168</v>
      </c>
      <c r="I106" s="148">
        <f ca="1">+I102/I21</f>
        <v>0.9232498765883681</v>
      </c>
      <c r="J106" s="10">
        <f>+J102/J21</f>
        <v>0.82128483018771903</v>
      </c>
      <c r="L106" s="10">
        <f ca="1">+L102/L21</f>
        <v>0.9319831467788271</v>
      </c>
      <c r="O106" s="6"/>
    </row>
    <row r="107" spans="1:15">
      <c r="D107" s="118"/>
      <c r="F107" s="144"/>
      <c r="I107" s="144"/>
      <c r="O107" s="6"/>
    </row>
    <row r="108" spans="1:15">
      <c r="B108" t="s">
        <v>103</v>
      </c>
      <c r="C108" s="6">
        <f>'Results of Operations Staff '!$N$108</f>
        <v>978450.4177974785</v>
      </c>
      <c r="D108" s="147">
        <f>+C108*'Depr Allocation by County'!L12</f>
        <v>765627.6590799113</v>
      </c>
      <c r="F108" s="146"/>
      <c r="G108" s="53">
        <f>+C108*'Depr Allocation by County'!L14</f>
        <v>68261.502492245854</v>
      </c>
      <c r="I108" s="146"/>
      <c r="J108" s="53">
        <f>+C108*'Depr Allocation by County'!L16</f>
        <v>144561.25622532141</v>
      </c>
      <c r="L108" s="6">
        <f>+I108-K108</f>
        <v>0</v>
      </c>
      <c r="O108" s="6">
        <f>+C108-D108-G108-J108</f>
        <v>0</v>
      </c>
    </row>
    <row r="109" spans="1:15">
      <c r="C109" s="10">
        <f>+C108/C108</f>
        <v>1</v>
      </c>
      <c r="D109" s="145">
        <f>+D108/C108</f>
        <v>0.78248999147382692</v>
      </c>
      <c r="F109" s="144"/>
      <c r="G109" s="10">
        <f>+G108/C108</f>
        <v>6.9764907092486672E-2</v>
      </c>
      <c r="I109" s="144"/>
      <c r="J109" s="10">
        <f>+J108/C108</f>
        <v>0.14774510143368652</v>
      </c>
      <c r="O109" s="6"/>
    </row>
  </sheetData>
  <mergeCells count="1">
    <mergeCell ref="Q6:V6"/>
  </mergeCells>
  <pageMargins left="0.2" right="0.3" top="0.65" bottom="0.36" header="0.3" footer="0.36"/>
  <pageSetup scale="67" fitToHeight="0" orientation="portrait" horizontalDpi="300" verticalDpi="300" r:id="rId1"/>
  <headerFooter alignWithMargins="0"/>
  <rowBreaks count="1" manualBreakCount="1">
    <brk id="83" max="11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2"/>
  <sheetViews>
    <sheetView topLeftCell="A247" workbookViewId="0">
      <selection activeCell="W264" sqref="W264"/>
    </sheetView>
  </sheetViews>
  <sheetFormatPr defaultRowHeight="12.75"/>
  <cols>
    <col min="1" max="2" width="9.42578125" customWidth="1"/>
    <col min="3" max="13" width="9.140625" customWidth="1"/>
    <col min="16" max="16" width="11.42578125" bestFit="1" customWidth="1"/>
    <col min="22" max="22" width="11" customWidth="1"/>
    <col min="24" max="25" width="10.140625" customWidth="1"/>
    <col min="28" max="28" width="11.28515625" customWidth="1"/>
    <col min="30" max="30" width="10.140625" bestFit="1" customWidth="1"/>
  </cols>
  <sheetData>
    <row r="1" spans="1:32">
      <c r="A1" t="s">
        <v>0</v>
      </c>
    </row>
    <row r="3" spans="1:32">
      <c r="A3" s="642" t="s">
        <v>1454</v>
      </c>
      <c r="B3" s="16"/>
      <c r="D3" s="643" t="s">
        <v>1342</v>
      </c>
      <c r="E3" s="647" t="s">
        <v>689</v>
      </c>
      <c r="F3" s="654"/>
      <c r="G3" s="195"/>
      <c r="H3" s="195"/>
    </row>
    <row r="5" spans="1:32" ht="18">
      <c r="A5" s="127" t="s">
        <v>850</v>
      </c>
      <c r="B5" s="127"/>
      <c r="V5" s="643" t="s">
        <v>1319</v>
      </c>
      <c r="Y5" s="322" t="s">
        <v>849</v>
      </c>
      <c r="Z5" s="322"/>
      <c r="AB5" s="643" t="s">
        <v>1321</v>
      </c>
    </row>
    <row r="6" spans="1:32">
      <c r="V6" s="643" t="s">
        <v>1320</v>
      </c>
      <c r="AB6" s="643" t="s">
        <v>1322</v>
      </c>
    </row>
    <row r="7" spans="1:32">
      <c r="L7" s="2"/>
      <c r="M7" s="2"/>
      <c r="N7" s="629"/>
      <c r="R7" s="251" t="s">
        <v>848</v>
      </c>
      <c r="X7" s="251" t="s">
        <v>848</v>
      </c>
      <c r="AD7" s="251" t="s">
        <v>848</v>
      </c>
    </row>
    <row r="8" spans="1:32">
      <c r="A8" t="s">
        <v>450</v>
      </c>
      <c r="B8" s="2" t="s">
        <v>489</v>
      </c>
      <c r="C8" s="2" t="s">
        <v>847</v>
      </c>
      <c r="D8" s="2" t="s">
        <v>512</v>
      </c>
      <c r="E8" s="2" t="s">
        <v>511</v>
      </c>
      <c r="F8" s="2" t="s">
        <v>510</v>
      </c>
      <c r="G8" s="2" t="s">
        <v>509</v>
      </c>
      <c r="H8" s="2" t="s">
        <v>508</v>
      </c>
      <c r="I8" s="2" t="s">
        <v>507</v>
      </c>
      <c r="J8" s="2" t="s">
        <v>506</v>
      </c>
      <c r="K8" s="2" t="s">
        <v>505</v>
      </c>
      <c r="L8" s="2" t="s">
        <v>748</v>
      </c>
      <c r="M8" s="2" t="s">
        <v>503</v>
      </c>
      <c r="N8" s="636" t="s">
        <v>502</v>
      </c>
      <c r="O8" s="251" t="s">
        <v>2</v>
      </c>
      <c r="P8" s="2" t="s">
        <v>86</v>
      </c>
      <c r="R8" s="251" t="s">
        <v>2</v>
      </c>
      <c r="T8" s="2"/>
      <c r="U8" s="251" t="s">
        <v>2</v>
      </c>
      <c r="V8" s="2" t="s">
        <v>86</v>
      </c>
      <c r="X8" s="251" t="s">
        <v>2</v>
      </c>
      <c r="Z8" s="2"/>
      <c r="AA8" s="251" t="s">
        <v>2</v>
      </c>
      <c r="AB8" s="2" t="s">
        <v>86</v>
      </c>
      <c r="AD8" s="251" t="s">
        <v>2</v>
      </c>
      <c r="AF8" s="2"/>
    </row>
    <row r="10" spans="1:32">
      <c r="A10" t="s">
        <v>846</v>
      </c>
      <c r="B10" t="s">
        <v>767</v>
      </c>
      <c r="C10" s="321">
        <v>0</v>
      </c>
      <c r="D10" s="321">
        <v>0</v>
      </c>
      <c r="E10" s="321">
        <v>0</v>
      </c>
      <c r="F10" s="321">
        <v>0</v>
      </c>
      <c r="G10" s="321">
        <v>0</v>
      </c>
      <c r="H10" s="321">
        <v>0</v>
      </c>
      <c r="I10" s="321">
        <v>0</v>
      </c>
      <c r="J10" s="321">
        <v>0</v>
      </c>
      <c r="K10" s="321">
        <v>377.85</v>
      </c>
      <c r="L10" s="321">
        <v>0</v>
      </c>
      <c r="M10" s="321">
        <v>0</v>
      </c>
      <c r="N10" s="321">
        <v>0</v>
      </c>
      <c r="O10" s="321">
        <f t="shared" ref="O10:O73" si="0">SUM(C10:N10)</f>
        <v>377.85</v>
      </c>
      <c r="Q10" s="321">
        <f t="shared" ref="Q10:Q27" si="1">+Q64</f>
        <v>0</v>
      </c>
      <c r="R10" s="321">
        <f t="shared" ref="R10:R38" si="2">+O10+Q10</f>
        <v>377.85</v>
      </c>
      <c r="T10" s="321"/>
      <c r="U10" s="321">
        <f>+K10</f>
        <v>377.85</v>
      </c>
      <c r="V10" s="83" t="s">
        <v>845</v>
      </c>
      <c r="W10" s="321">
        <f t="shared" ref="W10:W27" si="3">+W64</f>
        <v>0</v>
      </c>
      <c r="X10" s="321">
        <f t="shared" ref="X10:X38" si="4">+U10+W10</f>
        <v>377.85</v>
      </c>
      <c r="Z10" s="321"/>
      <c r="AA10" s="321">
        <f>+N10</f>
        <v>0</v>
      </c>
      <c r="AC10" s="321">
        <f t="shared" ref="AC10:AC27" si="5">+AC64</f>
        <v>0</v>
      </c>
      <c r="AD10" s="321">
        <f t="shared" ref="AD10:AD38" si="6">+AA10+AC10</f>
        <v>0</v>
      </c>
      <c r="AF10" s="321"/>
    </row>
    <row r="11" spans="1:32">
      <c r="B11" t="s">
        <v>766</v>
      </c>
      <c r="C11" s="321">
        <v>0</v>
      </c>
      <c r="D11" s="321">
        <v>0</v>
      </c>
      <c r="E11" s="321">
        <v>0</v>
      </c>
      <c r="F11" s="321">
        <v>0</v>
      </c>
      <c r="G11" s="321">
        <v>0</v>
      </c>
      <c r="H11" s="321">
        <v>0</v>
      </c>
      <c r="I11" s="321">
        <v>0</v>
      </c>
      <c r="J11" s="321">
        <v>0</v>
      </c>
      <c r="K11" s="321">
        <v>592.65</v>
      </c>
      <c r="L11" s="321">
        <v>0</v>
      </c>
      <c r="M11" s="321">
        <v>0</v>
      </c>
      <c r="N11" s="321">
        <v>0</v>
      </c>
      <c r="O11" s="321">
        <f t="shared" si="0"/>
        <v>592.65</v>
      </c>
      <c r="Q11" s="321">
        <f t="shared" si="1"/>
        <v>0</v>
      </c>
      <c r="R11" s="321">
        <f t="shared" si="2"/>
        <v>592.65</v>
      </c>
      <c r="T11" s="321"/>
      <c r="U11" s="321">
        <f t="shared" ref="U11:U74" si="7">+K11</f>
        <v>592.65</v>
      </c>
      <c r="W11" s="321">
        <f t="shared" si="3"/>
        <v>0</v>
      </c>
      <c r="X11" s="321">
        <f t="shared" si="4"/>
        <v>592.65</v>
      </c>
      <c r="Z11" s="321"/>
      <c r="AA11" s="321">
        <f t="shared" ref="AA11:AA71" si="8">+N11</f>
        <v>0</v>
      </c>
      <c r="AC11" s="321">
        <f t="shared" si="5"/>
        <v>0</v>
      </c>
      <c r="AD11" s="321">
        <f t="shared" si="6"/>
        <v>0</v>
      </c>
      <c r="AF11" s="321"/>
    </row>
    <row r="12" spans="1:32">
      <c r="B12" t="s">
        <v>765</v>
      </c>
      <c r="C12" s="321">
        <v>0</v>
      </c>
      <c r="D12" s="321">
        <v>0</v>
      </c>
      <c r="E12" s="321">
        <v>0</v>
      </c>
      <c r="F12" s="321">
        <v>0</v>
      </c>
      <c r="G12" s="321">
        <v>0</v>
      </c>
      <c r="H12" s="321">
        <v>0</v>
      </c>
      <c r="I12" s="321">
        <v>0</v>
      </c>
      <c r="J12" s="321">
        <v>0</v>
      </c>
      <c r="K12" s="321">
        <v>535.9</v>
      </c>
      <c r="L12" s="321">
        <v>0</v>
      </c>
      <c r="M12" s="321">
        <v>0</v>
      </c>
      <c r="N12" s="321">
        <v>0</v>
      </c>
      <c r="O12" s="321">
        <f t="shared" si="0"/>
        <v>535.9</v>
      </c>
      <c r="Q12" s="321">
        <f t="shared" si="1"/>
        <v>24.480369515011546</v>
      </c>
      <c r="R12" s="321">
        <f t="shared" si="2"/>
        <v>560.38036951501158</v>
      </c>
      <c r="T12" s="321"/>
      <c r="U12" s="321">
        <f t="shared" si="7"/>
        <v>535.9</v>
      </c>
      <c r="W12" s="321">
        <f t="shared" si="3"/>
        <v>24.480369515011546</v>
      </c>
      <c r="X12" s="321">
        <f t="shared" si="4"/>
        <v>560.38036951501158</v>
      </c>
      <c r="Z12" s="321"/>
      <c r="AA12" s="321">
        <f t="shared" si="8"/>
        <v>0</v>
      </c>
      <c r="AC12" s="321">
        <f t="shared" si="5"/>
        <v>0</v>
      </c>
      <c r="AD12" s="321">
        <f t="shared" si="6"/>
        <v>0</v>
      </c>
      <c r="AF12" s="321"/>
    </row>
    <row r="13" spans="1:32">
      <c r="A13" t="s">
        <v>844</v>
      </c>
      <c r="B13" t="s">
        <v>767</v>
      </c>
      <c r="C13" s="321">
        <v>0</v>
      </c>
      <c r="D13" s="321">
        <v>0</v>
      </c>
      <c r="E13" s="321">
        <v>0</v>
      </c>
      <c r="F13" s="321">
        <v>0</v>
      </c>
      <c r="G13" s="321">
        <v>0</v>
      </c>
      <c r="H13" s="321">
        <v>0</v>
      </c>
      <c r="I13" s="321">
        <v>0</v>
      </c>
      <c r="J13" s="321">
        <v>0</v>
      </c>
      <c r="K13" s="321">
        <v>235.55</v>
      </c>
      <c r="L13" s="321">
        <v>0</v>
      </c>
      <c r="M13" s="321">
        <v>0</v>
      </c>
      <c r="N13" s="321">
        <v>0</v>
      </c>
      <c r="O13" s="321">
        <f t="shared" si="0"/>
        <v>235.55</v>
      </c>
      <c r="Q13" s="321">
        <f t="shared" si="1"/>
        <v>0</v>
      </c>
      <c r="R13" s="321">
        <f t="shared" si="2"/>
        <v>235.55</v>
      </c>
      <c r="T13" s="321"/>
      <c r="U13" s="321">
        <f t="shared" si="7"/>
        <v>235.55</v>
      </c>
      <c r="W13" s="321">
        <f t="shared" si="3"/>
        <v>0</v>
      </c>
      <c r="X13" s="321">
        <f t="shared" si="4"/>
        <v>235.55</v>
      </c>
      <c r="Z13" s="321"/>
      <c r="AA13" s="321">
        <f t="shared" si="8"/>
        <v>0</v>
      </c>
      <c r="AC13" s="321">
        <f t="shared" si="5"/>
        <v>0</v>
      </c>
      <c r="AD13" s="321">
        <f t="shared" si="6"/>
        <v>0</v>
      </c>
      <c r="AF13" s="321"/>
    </row>
    <row r="14" spans="1:32">
      <c r="B14" t="s">
        <v>766</v>
      </c>
      <c r="C14" s="321">
        <v>0</v>
      </c>
      <c r="D14" s="321">
        <v>0</v>
      </c>
      <c r="E14" s="321">
        <v>0</v>
      </c>
      <c r="F14" s="321">
        <v>0</v>
      </c>
      <c r="G14" s="321">
        <v>0</v>
      </c>
      <c r="H14" s="321">
        <v>0</v>
      </c>
      <c r="I14" s="321">
        <v>0</v>
      </c>
      <c r="J14" s="321">
        <v>0</v>
      </c>
      <c r="K14" s="321">
        <v>999.2</v>
      </c>
      <c r="L14" s="321">
        <v>0</v>
      </c>
      <c r="M14" s="321">
        <v>0</v>
      </c>
      <c r="N14" s="321">
        <v>0</v>
      </c>
      <c r="O14" s="321">
        <f t="shared" si="0"/>
        <v>999.2</v>
      </c>
      <c r="Q14" s="321">
        <f t="shared" si="1"/>
        <v>0</v>
      </c>
      <c r="R14" s="321">
        <f t="shared" si="2"/>
        <v>999.2</v>
      </c>
      <c r="T14" s="321"/>
      <c r="U14" s="321">
        <f t="shared" si="7"/>
        <v>999.2</v>
      </c>
      <c r="W14" s="321">
        <f t="shared" si="3"/>
        <v>0</v>
      </c>
      <c r="X14" s="321">
        <f t="shared" si="4"/>
        <v>999.2</v>
      </c>
      <c r="Z14" s="321"/>
      <c r="AA14" s="321">
        <f t="shared" si="8"/>
        <v>0</v>
      </c>
      <c r="AC14" s="321">
        <f t="shared" si="5"/>
        <v>0</v>
      </c>
      <c r="AD14" s="321">
        <f t="shared" si="6"/>
        <v>0</v>
      </c>
      <c r="AF14" s="321"/>
    </row>
    <row r="15" spans="1:32">
      <c r="B15" t="s">
        <v>765</v>
      </c>
      <c r="C15" s="321">
        <v>0</v>
      </c>
      <c r="D15" s="321">
        <v>0</v>
      </c>
      <c r="E15" s="321">
        <v>0</v>
      </c>
      <c r="F15" s="321">
        <v>0</v>
      </c>
      <c r="G15" s="321">
        <v>0</v>
      </c>
      <c r="H15" s="321">
        <v>0</v>
      </c>
      <c r="I15" s="321">
        <v>0</v>
      </c>
      <c r="J15" s="321">
        <v>0</v>
      </c>
      <c r="K15" s="321">
        <v>888.9</v>
      </c>
      <c r="L15" s="321">
        <v>0</v>
      </c>
      <c r="M15" s="321">
        <v>0</v>
      </c>
      <c r="N15" s="321">
        <v>0</v>
      </c>
      <c r="O15" s="321">
        <f t="shared" si="0"/>
        <v>888.9</v>
      </c>
      <c r="Q15" s="321">
        <f t="shared" si="1"/>
        <v>24.480369515011546</v>
      </c>
      <c r="R15" s="321">
        <f t="shared" si="2"/>
        <v>913.38036951501158</v>
      </c>
      <c r="T15" s="321"/>
      <c r="U15" s="321">
        <f t="shared" si="7"/>
        <v>888.9</v>
      </c>
      <c r="W15" s="321">
        <f t="shared" si="3"/>
        <v>24.480369515011546</v>
      </c>
      <c r="X15" s="321">
        <f t="shared" si="4"/>
        <v>913.38036951501158</v>
      </c>
      <c r="Z15" s="321"/>
      <c r="AA15" s="321">
        <f t="shared" si="8"/>
        <v>0</v>
      </c>
      <c r="AC15" s="321">
        <f t="shared" si="5"/>
        <v>0</v>
      </c>
      <c r="AD15" s="321">
        <f t="shared" si="6"/>
        <v>0</v>
      </c>
      <c r="AF15" s="321"/>
    </row>
    <row r="16" spans="1:32">
      <c r="A16" t="s">
        <v>843</v>
      </c>
      <c r="B16" t="s">
        <v>767</v>
      </c>
      <c r="C16" s="321">
        <v>0</v>
      </c>
      <c r="D16" s="321">
        <v>0</v>
      </c>
      <c r="E16" s="321">
        <v>0</v>
      </c>
      <c r="F16" s="321">
        <v>0</v>
      </c>
      <c r="G16" s="321">
        <v>0</v>
      </c>
      <c r="H16" s="321">
        <v>0</v>
      </c>
      <c r="I16" s="321">
        <v>0</v>
      </c>
      <c r="J16" s="321">
        <v>0</v>
      </c>
      <c r="K16" s="321">
        <v>21.25</v>
      </c>
      <c r="L16" s="321">
        <v>0</v>
      </c>
      <c r="M16" s="321">
        <v>0</v>
      </c>
      <c r="N16" s="321">
        <v>0</v>
      </c>
      <c r="O16" s="321">
        <f t="shared" si="0"/>
        <v>21.25</v>
      </c>
      <c r="Q16" s="321">
        <f t="shared" si="1"/>
        <v>0</v>
      </c>
      <c r="R16" s="321">
        <f t="shared" si="2"/>
        <v>21.25</v>
      </c>
      <c r="T16" s="321"/>
      <c r="U16" s="321">
        <f t="shared" si="7"/>
        <v>21.25</v>
      </c>
      <c r="W16" s="321">
        <f t="shared" si="3"/>
        <v>0</v>
      </c>
      <c r="X16" s="321">
        <f t="shared" si="4"/>
        <v>21.25</v>
      </c>
      <c r="Z16" s="321"/>
      <c r="AA16" s="321">
        <f t="shared" si="8"/>
        <v>0</v>
      </c>
      <c r="AC16" s="321">
        <f t="shared" si="5"/>
        <v>0</v>
      </c>
      <c r="AD16" s="321">
        <f t="shared" si="6"/>
        <v>0</v>
      </c>
      <c r="AF16" s="321"/>
    </row>
    <row r="17" spans="1:32">
      <c r="B17" t="s">
        <v>766</v>
      </c>
      <c r="C17" s="321">
        <v>0</v>
      </c>
      <c r="D17" s="321">
        <v>0</v>
      </c>
      <c r="E17" s="321">
        <v>0</v>
      </c>
      <c r="F17" s="321">
        <v>0</v>
      </c>
      <c r="G17" s="321">
        <v>0</v>
      </c>
      <c r="H17" s="321">
        <v>0</v>
      </c>
      <c r="I17" s="321">
        <v>0</v>
      </c>
      <c r="J17" s="321">
        <v>0</v>
      </c>
      <c r="K17" s="321">
        <v>285.2</v>
      </c>
      <c r="L17" s="321">
        <v>0</v>
      </c>
      <c r="M17" s="321">
        <v>0</v>
      </c>
      <c r="N17" s="321">
        <v>0</v>
      </c>
      <c r="O17" s="321">
        <f t="shared" si="0"/>
        <v>285.2</v>
      </c>
      <c r="Q17" s="321">
        <f t="shared" si="1"/>
        <v>0</v>
      </c>
      <c r="R17" s="321">
        <f t="shared" si="2"/>
        <v>285.2</v>
      </c>
      <c r="T17" s="321"/>
      <c r="U17" s="321">
        <f t="shared" si="7"/>
        <v>285.2</v>
      </c>
      <c r="W17" s="321">
        <f t="shared" si="3"/>
        <v>0</v>
      </c>
      <c r="X17" s="321">
        <f t="shared" si="4"/>
        <v>285.2</v>
      </c>
      <c r="Z17" s="321"/>
      <c r="AA17" s="321">
        <f t="shared" si="8"/>
        <v>0</v>
      </c>
      <c r="AC17" s="321">
        <f t="shared" si="5"/>
        <v>0</v>
      </c>
      <c r="AD17" s="321">
        <f t="shared" si="6"/>
        <v>0</v>
      </c>
      <c r="AF17" s="321"/>
    </row>
    <row r="18" spans="1:32">
      <c r="B18" t="s">
        <v>765</v>
      </c>
      <c r="C18" s="321">
        <v>0</v>
      </c>
      <c r="D18" s="321">
        <v>0</v>
      </c>
      <c r="E18" s="321">
        <v>0</v>
      </c>
      <c r="F18" s="321">
        <v>0</v>
      </c>
      <c r="G18" s="321">
        <v>0</v>
      </c>
      <c r="H18" s="321">
        <v>0</v>
      </c>
      <c r="I18" s="321">
        <v>0</v>
      </c>
      <c r="J18" s="321">
        <v>0</v>
      </c>
      <c r="K18" s="321">
        <v>123.25</v>
      </c>
      <c r="L18" s="321">
        <v>0</v>
      </c>
      <c r="M18" s="321">
        <v>0</v>
      </c>
      <c r="N18" s="321">
        <v>0</v>
      </c>
      <c r="O18" s="321">
        <f t="shared" si="0"/>
        <v>123.25</v>
      </c>
      <c r="Q18" s="321">
        <f t="shared" si="1"/>
        <v>6.0046189376443415</v>
      </c>
      <c r="R18" s="321">
        <f t="shared" si="2"/>
        <v>129.25461893764435</v>
      </c>
      <c r="T18" s="321"/>
      <c r="U18" s="321">
        <f t="shared" si="7"/>
        <v>123.25</v>
      </c>
      <c r="W18" s="321">
        <f t="shared" si="3"/>
        <v>6.0046189376443415</v>
      </c>
      <c r="X18" s="321">
        <f t="shared" si="4"/>
        <v>129.25461893764435</v>
      </c>
      <c r="Z18" s="321"/>
      <c r="AA18" s="321">
        <f t="shared" si="8"/>
        <v>0</v>
      </c>
      <c r="AC18" s="321">
        <f t="shared" si="5"/>
        <v>0</v>
      </c>
      <c r="AD18" s="321">
        <f t="shared" si="6"/>
        <v>0</v>
      </c>
      <c r="AF18" s="321"/>
    </row>
    <row r="19" spans="1:32">
      <c r="A19" t="s">
        <v>842</v>
      </c>
      <c r="B19" t="s">
        <v>767</v>
      </c>
      <c r="C19" s="321">
        <v>0</v>
      </c>
      <c r="D19" s="321">
        <v>0</v>
      </c>
      <c r="E19" s="321">
        <v>0</v>
      </c>
      <c r="F19" s="321">
        <v>0</v>
      </c>
      <c r="G19" s="321">
        <v>0</v>
      </c>
      <c r="H19" s="321">
        <v>0</v>
      </c>
      <c r="I19" s="321">
        <v>0</v>
      </c>
      <c r="J19" s="321">
        <v>0</v>
      </c>
      <c r="K19" s="321">
        <v>6</v>
      </c>
      <c r="L19" s="321">
        <v>0</v>
      </c>
      <c r="M19" s="321">
        <v>0</v>
      </c>
      <c r="N19" s="321">
        <v>0</v>
      </c>
      <c r="O19" s="321">
        <f t="shared" si="0"/>
        <v>6</v>
      </c>
      <c r="Q19" s="321">
        <f t="shared" si="1"/>
        <v>0</v>
      </c>
      <c r="R19" s="321">
        <f t="shared" si="2"/>
        <v>6</v>
      </c>
      <c r="T19" s="321"/>
      <c r="U19" s="321">
        <f t="shared" si="7"/>
        <v>6</v>
      </c>
      <c r="W19" s="321">
        <f t="shared" si="3"/>
        <v>0</v>
      </c>
      <c r="X19" s="321">
        <f t="shared" si="4"/>
        <v>6</v>
      </c>
      <c r="Z19" s="321"/>
      <c r="AA19" s="321">
        <f t="shared" si="8"/>
        <v>0</v>
      </c>
      <c r="AC19" s="321">
        <f t="shared" si="5"/>
        <v>0</v>
      </c>
      <c r="AD19" s="321">
        <f t="shared" si="6"/>
        <v>0</v>
      </c>
      <c r="AF19" s="321"/>
    </row>
    <row r="20" spans="1:32">
      <c r="B20" t="s">
        <v>766</v>
      </c>
      <c r="C20" s="321">
        <v>0</v>
      </c>
      <c r="D20" s="321">
        <v>0</v>
      </c>
      <c r="E20" s="321">
        <v>0</v>
      </c>
      <c r="F20" s="321">
        <v>0</v>
      </c>
      <c r="G20" s="321">
        <v>0</v>
      </c>
      <c r="H20" s="321">
        <v>0</v>
      </c>
      <c r="I20" s="321">
        <v>0</v>
      </c>
      <c r="J20" s="321">
        <v>0</v>
      </c>
      <c r="K20" s="321">
        <v>116.1</v>
      </c>
      <c r="L20" s="321">
        <v>0</v>
      </c>
      <c r="M20" s="321">
        <v>0</v>
      </c>
      <c r="N20" s="321">
        <v>0</v>
      </c>
      <c r="O20" s="321">
        <f t="shared" si="0"/>
        <v>116.1</v>
      </c>
      <c r="Q20" s="321">
        <f t="shared" si="1"/>
        <v>0</v>
      </c>
      <c r="R20" s="321">
        <f t="shared" si="2"/>
        <v>116.1</v>
      </c>
      <c r="T20" s="321"/>
      <c r="U20" s="321">
        <f t="shared" si="7"/>
        <v>116.1</v>
      </c>
      <c r="W20" s="321">
        <f t="shared" si="3"/>
        <v>0</v>
      </c>
      <c r="X20" s="321">
        <f t="shared" si="4"/>
        <v>116.1</v>
      </c>
      <c r="Z20" s="321"/>
      <c r="AA20" s="321">
        <f t="shared" si="8"/>
        <v>0</v>
      </c>
      <c r="AC20" s="321">
        <f t="shared" si="5"/>
        <v>0</v>
      </c>
      <c r="AD20" s="321">
        <f t="shared" si="6"/>
        <v>0</v>
      </c>
      <c r="AF20" s="321"/>
    </row>
    <row r="21" spans="1:32">
      <c r="B21" t="s">
        <v>765</v>
      </c>
      <c r="C21" s="321">
        <v>0</v>
      </c>
      <c r="D21" s="321">
        <v>0</v>
      </c>
      <c r="E21" s="321">
        <v>0</v>
      </c>
      <c r="F21" s="321">
        <v>0</v>
      </c>
      <c r="G21" s="321">
        <v>0</v>
      </c>
      <c r="H21" s="321">
        <v>0</v>
      </c>
      <c r="I21" s="321">
        <v>0</v>
      </c>
      <c r="J21" s="321">
        <v>0</v>
      </c>
      <c r="K21" s="321">
        <v>46</v>
      </c>
      <c r="L21" s="321">
        <v>0</v>
      </c>
      <c r="M21" s="321">
        <v>0</v>
      </c>
      <c r="N21" s="321">
        <v>0</v>
      </c>
      <c r="O21" s="321">
        <f t="shared" si="0"/>
        <v>46</v>
      </c>
      <c r="Q21" s="321">
        <f t="shared" si="1"/>
        <v>12.009237875288683</v>
      </c>
      <c r="R21" s="321">
        <f t="shared" si="2"/>
        <v>58.009237875288683</v>
      </c>
      <c r="T21" s="321"/>
      <c r="U21" s="321">
        <f t="shared" si="7"/>
        <v>46</v>
      </c>
      <c r="W21" s="321">
        <f t="shared" si="3"/>
        <v>12.009237875288683</v>
      </c>
      <c r="X21" s="321">
        <f t="shared" si="4"/>
        <v>58.009237875288683</v>
      </c>
      <c r="Z21" s="321"/>
      <c r="AA21" s="321">
        <f t="shared" si="8"/>
        <v>0</v>
      </c>
      <c r="AC21" s="321">
        <f t="shared" si="5"/>
        <v>0</v>
      </c>
      <c r="AD21" s="321">
        <f t="shared" si="6"/>
        <v>0</v>
      </c>
      <c r="AF21" s="321"/>
    </row>
    <row r="22" spans="1:32">
      <c r="A22" t="s">
        <v>841</v>
      </c>
      <c r="B22" t="s">
        <v>767</v>
      </c>
      <c r="C22" s="321">
        <v>0</v>
      </c>
      <c r="D22" s="321">
        <v>0</v>
      </c>
      <c r="E22" s="321">
        <v>0</v>
      </c>
      <c r="F22" s="321">
        <v>0</v>
      </c>
      <c r="G22" s="321">
        <v>0</v>
      </c>
      <c r="H22" s="321">
        <v>0</v>
      </c>
      <c r="I22" s="321">
        <v>0</v>
      </c>
      <c r="J22" s="321">
        <v>0</v>
      </c>
      <c r="K22" s="321">
        <v>0</v>
      </c>
      <c r="L22" s="321">
        <v>0</v>
      </c>
      <c r="M22" s="321">
        <v>0</v>
      </c>
      <c r="N22" s="321">
        <v>0</v>
      </c>
      <c r="O22" s="321">
        <f t="shared" si="0"/>
        <v>0</v>
      </c>
      <c r="Q22" s="321">
        <f t="shared" si="1"/>
        <v>0</v>
      </c>
      <c r="R22" s="321">
        <f t="shared" si="2"/>
        <v>0</v>
      </c>
      <c r="T22" s="321"/>
      <c r="U22" s="321">
        <f t="shared" si="7"/>
        <v>0</v>
      </c>
      <c r="W22" s="321">
        <f t="shared" si="3"/>
        <v>0</v>
      </c>
      <c r="X22" s="321">
        <f t="shared" si="4"/>
        <v>0</v>
      </c>
      <c r="Z22" s="321"/>
      <c r="AA22" s="321">
        <f t="shared" si="8"/>
        <v>0</v>
      </c>
      <c r="AC22" s="321">
        <f t="shared" si="5"/>
        <v>0</v>
      </c>
      <c r="AD22" s="321">
        <f t="shared" si="6"/>
        <v>0</v>
      </c>
      <c r="AF22" s="321"/>
    </row>
    <row r="23" spans="1:32">
      <c r="B23" t="s">
        <v>766</v>
      </c>
      <c r="C23" s="321">
        <v>0</v>
      </c>
      <c r="D23" s="321">
        <v>0</v>
      </c>
      <c r="E23" s="321">
        <v>0</v>
      </c>
      <c r="F23" s="321">
        <v>0</v>
      </c>
      <c r="G23" s="321">
        <v>0</v>
      </c>
      <c r="H23" s="321">
        <v>0</v>
      </c>
      <c r="I23" s="321">
        <v>0</v>
      </c>
      <c r="J23" s="321">
        <v>0</v>
      </c>
      <c r="K23" s="321">
        <v>32.75</v>
      </c>
      <c r="L23" s="321">
        <v>0</v>
      </c>
      <c r="M23" s="321">
        <v>0</v>
      </c>
      <c r="N23" s="321">
        <v>0</v>
      </c>
      <c r="O23" s="321">
        <f t="shared" si="0"/>
        <v>32.75</v>
      </c>
      <c r="Q23" s="321">
        <f t="shared" si="1"/>
        <v>0</v>
      </c>
      <c r="R23" s="321">
        <f t="shared" si="2"/>
        <v>32.75</v>
      </c>
      <c r="T23" s="321"/>
      <c r="U23" s="321">
        <f t="shared" si="7"/>
        <v>32.75</v>
      </c>
      <c r="W23" s="321">
        <f t="shared" si="3"/>
        <v>0</v>
      </c>
      <c r="X23" s="321">
        <f t="shared" si="4"/>
        <v>32.75</v>
      </c>
      <c r="Z23" s="321"/>
      <c r="AA23" s="321">
        <f t="shared" si="8"/>
        <v>0</v>
      </c>
      <c r="AC23" s="321">
        <f t="shared" si="5"/>
        <v>0</v>
      </c>
      <c r="AD23" s="321">
        <f t="shared" si="6"/>
        <v>0</v>
      </c>
      <c r="AF23" s="321"/>
    </row>
    <row r="24" spans="1:32">
      <c r="B24" t="s">
        <v>765</v>
      </c>
      <c r="C24" s="321">
        <v>0</v>
      </c>
      <c r="D24" s="321">
        <v>0</v>
      </c>
      <c r="E24" s="321">
        <v>0</v>
      </c>
      <c r="F24" s="321">
        <v>0</v>
      </c>
      <c r="G24" s="321">
        <v>0</v>
      </c>
      <c r="H24" s="321">
        <v>0</v>
      </c>
      <c r="I24" s="321">
        <v>0</v>
      </c>
      <c r="J24" s="321">
        <v>0</v>
      </c>
      <c r="K24" s="321">
        <v>0</v>
      </c>
      <c r="L24" s="321">
        <v>0</v>
      </c>
      <c r="M24" s="321">
        <v>0</v>
      </c>
      <c r="N24" s="321">
        <v>0</v>
      </c>
      <c r="O24" s="321">
        <f t="shared" si="0"/>
        <v>0</v>
      </c>
      <c r="Q24" s="321">
        <f t="shared" si="1"/>
        <v>12.009237875288683</v>
      </c>
      <c r="R24" s="321">
        <f t="shared" si="2"/>
        <v>12.009237875288683</v>
      </c>
      <c r="T24" s="321"/>
      <c r="U24" s="321">
        <f t="shared" si="7"/>
        <v>0</v>
      </c>
      <c r="W24" s="321">
        <f t="shared" si="3"/>
        <v>12.009237875288683</v>
      </c>
      <c r="X24" s="321">
        <f t="shared" si="4"/>
        <v>12.009237875288683</v>
      </c>
      <c r="Z24" s="321"/>
      <c r="AA24" s="321">
        <f t="shared" si="8"/>
        <v>0</v>
      </c>
      <c r="AC24" s="321">
        <f t="shared" si="5"/>
        <v>0</v>
      </c>
      <c r="AD24" s="321">
        <f t="shared" si="6"/>
        <v>0</v>
      </c>
      <c r="AF24" s="321"/>
    </row>
    <row r="25" spans="1:32">
      <c r="A25" t="s">
        <v>840</v>
      </c>
      <c r="B25" t="s">
        <v>767</v>
      </c>
      <c r="C25" s="321">
        <v>0</v>
      </c>
      <c r="D25" s="321">
        <v>0</v>
      </c>
      <c r="E25" s="321">
        <v>0</v>
      </c>
      <c r="F25" s="321">
        <v>0</v>
      </c>
      <c r="G25" s="321">
        <v>0</v>
      </c>
      <c r="H25" s="321">
        <v>0</v>
      </c>
      <c r="I25" s="321">
        <v>0</v>
      </c>
      <c r="J25" s="321">
        <v>0</v>
      </c>
      <c r="K25" s="321">
        <v>13.2</v>
      </c>
      <c r="L25" s="321">
        <v>0</v>
      </c>
      <c r="M25" s="321">
        <v>0</v>
      </c>
      <c r="N25" s="321">
        <v>0</v>
      </c>
      <c r="O25" s="321">
        <f t="shared" si="0"/>
        <v>13.2</v>
      </c>
      <c r="Q25" s="321">
        <f t="shared" si="1"/>
        <v>0</v>
      </c>
      <c r="R25" s="321">
        <f t="shared" si="2"/>
        <v>13.2</v>
      </c>
      <c r="T25" s="321"/>
      <c r="U25" s="321">
        <f t="shared" si="7"/>
        <v>13.2</v>
      </c>
      <c r="W25" s="321">
        <f t="shared" si="3"/>
        <v>0</v>
      </c>
      <c r="X25" s="321">
        <f t="shared" si="4"/>
        <v>13.2</v>
      </c>
      <c r="Z25" s="321"/>
      <c r="AA25" s="321">
        <f t="shared" si="8"/>
        <v>0</v>
      </c>
      <c r="AC25" s="321">
        <f t="shared" si="5"/>
        <v>0</v>
      </c>
      <c r="AD25" s="321">
        <f t="shared" si="6"/>
        <v>0</v>
      </c>
      <c r="AF25" s="321"/>
    </row>
    <row r="26" spans="1:32">
      <c r="B26" t="s">
        <v>766</v>
      </c>
      <c r="C26" s="321">
        <v>0</v>
      </c>
      <c r="D26" s="321">
        <v>0</v>
      </c>
      <c r="E26" s="321">
        <v>0</v>
      </c>
      <c r="F26" s="321">
        <v>0</v>
      </c>
      <c r="G26" s="321">
        <v>0</v>
      </c>
      <c r="H26" s="321">
        <v>0</v>
      </c>
      <c r="I26" s="321">
        <v>0</v>
      </c>
      <c r="J26" s="321">
        <v>0</v>
      </c>
      <c r="K26" s="321">
        <v>44.25</v>
      </c>
      <c r="L26" s="321">
        <v>0</v>
      </c>
      <c r="M26" s="321">
        <v>0</v>
      </c>
      <c r="N26" s="321">
        <v>0</v>
      </c>
      <c r="O26" s="321">
        <f t="shared" si="0"/>
        <v>44.25</v>
      </c>
      <c r="Q26" s="321">
        <f t="shared" si="1"/>
        <v>0</v>
      </c>
      <c r="R26" s="321">
        <f t="shared" si="2"/>
        <v>44.25</v>
      </c>
      <c r="T26" s="321"/>
      <c r="U26" s="321">
        <f t="shared" si="7"/>
        <v>44.25</v>
      </c>
      <c r="W26" s="321">
        <f t="shared" si="3"/>
        <v>0</v>
      </c>
      <c r="X26" s="321">
        <f t="shared" si="4"/>
        <v>44.25</v>
      </c>
      <c r="Z26" s="321"/>
      <c r="AA26" s="321">
        <f t="shared" si="8"/>
        <v>0</v>
      </c>
      <c r="AC26" s="321">
        <f t="shared" si="5"/>
        <v>0</v>
      </c>
      <c r="AD26" s="321">
        <f t="shared" si="6"/>
        <v>0</v>
      </c>
      <c r="AF26" s="321"/>
    </row>
    <row r="27" spans="1:32">
      <c r="B27" t="s">
        <v>765</v>
      </c>
      <c r="C27" s="321">
        <v>0</v>
      </c>
      <c r="D27" s="321">
        <v>0</v>
      </c>
      <c r="E27" s="321">
        <v>0</v>
      </c>
      <c r="F27" s="321">
        <v>0</v>
      </c>
      <c r="G27" s="321">
        <v>0</v>
      </c>
      <c r="H27" s="321">
        <v>0</v>
      </c>
      <c r="I27" s="321">
        <v>0</v>
      </c>
      <c r="J27" s="321">
        <v>0</v>
      </c>
      <c r="K27" s="321">
        <v>0</v>
      </c>
      <c r="L27" s="321">
        <v>0</v>
      </c>
      <c r="M27" s="321">
        <v>0</v>
      </c>
      <c r="N27" s="321">
        <v>0</v>
      </c>
      <c r="O27" s="321">
        <f t="shared" si="0"/>
        <v>0</v>
      </c>
      <c r="Q27" s="321">
        <f t="shared" si="1"/>
        <v>0</v>
      </c>
      <c r="R27" s="321">
        <f t="shared" si="2"/>
        <v>0</v>
      </c>
      <c r="T27" s="321"/>
      <c r="U27" s="321">
        <f t="shared" si="7"/>
        <v>0</v>
      </c>
      <c r="W27" s="321">
        <f t="shared" si="3"/>
        <v>0</v>
      </c>
      <c r="X27" s="321">
        <f t="shared" si="4"/>
        <v>0</v>
      </c>
      <c r="Z27" s="321"/>
      <c r="AA27" s="321">
        <f t="shared" si="8"/>
        <v>0</v>
      </c>
      <c r="AC27" s="321">
        <f t="shared" si="5"/>
        <v>0</v>
      </c>
      <c r="AD27" s="321">
        <f t="shared" si="6"/>
        <v>0</v>
      </c>
      <c r="AF27" s="321"/>
    </row>
    <row r="28" spans="1:32">
      <c r="A28" s="83" t="s">
        <v>839</v>
      </c>
      <c r="B28" t="s">
        <v>767</v>
      </c>
      <c r="C28" s="321">
        <v>0</v>
      </c>
      <c r="D28" s="321">
        <v>0</v>
      </c>
      <c r="E28" s="321">
        <v>0</v>
      </c>
      <c r="F28" s="321">
        <v>0</v>
      </c>
      <c r="G28" s="321">
        <v>0</v>
      </c>
      <c r="H28" s="321">
        <v>0</v>
      </c>
      <c r="I28" s="321">
        <v>0</v>
      </c>
      <c r="J28" s="321">
        <v>0</v>
      </c>
      <c r="K28" s="321">
        <v>55.2</v>
      </c>
      <c r="L28" s="321">
        <v>0</v>
      </c>
      <c r="M28" s="321">
        <v>0</v>
      </c>
      <c r="N28" s="321">
        <v>0</v>
      </c>
      <c r="O28" s="321">
        <f t="shared" si="0"/>
        <v>55.2</v>
      </c>
      <c r="Q28" s="321">
        <f>+Q70</f>
        <v>0</v>
      </c>
      <c r="R28" s="321">
        <f t="shared" si="2"/>
        <v>55.2</v>
      </c>
      <c r="T28" s="321"/>
      <c r="U28" s="321">
        <f t="shared" si="7"/>
        <v>55.2</v>
      </c>
      <c r="W28" s="321"/>
      <c r="X28" s="321">
        <f t="shared" si="4"/>
        <v>55.2</v>
      </c>
      <c r="Z28" s="321"/>
      <c r="AA28" s="321">
        <f t="shared" si="8"/>
        <v>0</v>
      </c>
      <c r="AC28" s="321">
        <f>+AC70</f>
        <v>0</v>
      </c>
      <c r="AD28" s="321">
        <f t="shared" si="6"/>
        <v>0</v>
      </c>
      <c r="AF28" s="321"/>
    </row>
    <row r="29" spans="1:32">
      <c r="B29" t="s">
        <v>766</v>
      </c>
      <c r="C29" s="321">
        <v>0</v>
      </c>
      <c r="D29" s="321">
        <v>0</v>
      </c>
      <c r="E29" s="321">
        <v>0</v>
      </c>
      <c r="F29" s="321">
        <v>0</v>
      </c>
      <c r="G29" s="321">
        <v>0</v>
      </c>
      <c r="H29" s="321">
        <v>0</v>
      </c>
      <c r="I29" s="321">
        <v>0</v>
      </c>
      <c r="J29" s="321">
        <v>0</v>
      </c>
      <c r="K29" s="321">
        <v>0</v>
      </c>
      <c r="L29" s="321">
        <v>0</v>
      </c>
      <c r="M29" s="321">
        <v>0</v>
      </c>
      <c r="N29" s="321">
        <v>0</v>
      </c>
      <c r="O29" s="321">
        <f t="shared" si="0"/>
        <v>0</v>
      </c>
      <c r="Q29" s="321"/>
      <c r="R29" s="321">
        <f t="shared" si="2"/>
        <v>0</v>
      </c>
      <c r="T29" s="321"/>
      <c r="U29" s="321">
        <f t="shared" si="7"/>
        <v>0</v>
      </c>
      <c r="W29" s="321"/>
      <c r="X29" s="321">
        <f t="shared" si="4"/>
        <v>0</v>
      </c>
      <c r="Z29" s="321"/>
      <c r="AA29" s="321">
        <f t="shared" si="8"/>
        <v>0</v>
      </c>
      <c r="AC29" s="321"/>
      <c r="AD29" s="321">
        <f t="shared" si="6"/>
        <v>0</v>
      </c>
      <c r="AF29" s="321"/>
    </row>
    <row r="30" spans="1:32">
      <c r="B30" t="s">
        <v>765</v>
      </c>
      <c r="C30" s="321">
        <v>0</v>
      </c>
      <c r="D30" s="321">
        <v>0</v>
      </c>
      <c r="E30" s="321">
        <v>0</v>
      </c>
      <c r="F30" s="321">
        <v>0</v>
      </c>
      <c r="G30" s="321">
        <v>0</v>
      </c>
      <c r="H30" s="321">
        <v>0</v>
      </c>
      <c r="I30" s="321">
        <v>0</v>
      </c>
      <c r="J30" s="321">
        <v>0</v>
      </c>
      <c r="K30" s="321">
        <v>0</v>
      </c>
      <c r="L30" s="321">
        <v>0</v>
      </c>
      <c r="M30" s="321">
        <v>0</v>
      </c>
      <c r="N30" s="321">
        <v>0</v>
      </c>
      <c r="O30" s="321">
        <f t="shared" si="0"/>
        <v>0</v>
      </c>
      <c r="Q30" s="321"/>
      <c r="R30" s="321">
        <f t="shared" si="2"/>
        <v>0</v>
      </c>
      <c r="T30" s="321"/>
      <c r="U30" s="321">
        <f t="shared" si="7"/>
        <v>0</v>
      </c>
      <c r="W30" s="321"/>
      <c r="X30" s="321">
        <f t="shared" si="4"/>
        <v>0</v>
      </c>
      <c r="Z30" s="321"/>
      <c r="AA30" s="321">
        <f t="shared" si="8"/>
        <v>0</v>
      </c>
      <c r="AC30" s="321"/>
      <c r="AD30" s="321">
        <f t="shared" si="6"/>
        <v>0</v>
      </c>
      <c r="AF30" s="321"/>
    </row>
    <row r="31" spans="1:32">
      <c r="A31" s="83" t="s">
        <v>838</v>
      </c>
      <c r="B31" t="s">
        <v>767</v>
      </c>
      <c r="C31" s="321">
        <v>0</v>
      </c>
      <c r="D31" s="321">
        <v>0</v>
      </c>
      <c r="E31" s="321">
        <v>0</v>
      </c>
      <c r="F31" s="321">
        <v>0</v>
      </c>
      <c r="G31" s="321">
        <v>0</v>
      </c>
      <c r="H31" s="321">
        <v>0</v>
      </c>
      <c r="I31" s="321">
        <v>0</v>
      </c>
      <c r="J31" s="321">
        <v>0</v>
      </c>
      <c r="K31" s="321">
        <v>6351.45</v>
      </c>
      <c r="L31" s="321">
        <v>0</v>
      </c>
      <c r="M31" s="321">
        <v>0</v>
      </c>
      <c r="N31" s="321">
        <v>0</v>
      </c>
      <c r="O31" s="321">
        <f t="shared" si="0"/>
        <v>6351.45</v>
      </c>
      <c r="Q31" s="321">
        <f>+Q73</f>
        <v>0</v>
      </c>
      <c r="R31" s="321">
        <f t="shared" si="2"/>
        <v>6351.45</v>
      </c>
      <c r="T31" s="321"/>
      <c r="U31" s="321">
        <f t="shared" si="7"/>
        <v>6351.45</v>
      </c>
      <c r="W31" s="321"/>
      <c r="X31" s="321">
        <f t="shared" si="4"/>
        <v>6351.45</v>
      </c>
      <c r="Z31" s="321"/>
      <c r="AA31" s="321">
        <f t="shared" si="8"/>
        <v>0</v>
      </c>
      <c r="AC31" s="321">
        <f>+AC73</f>
        <v>0</v>
      </c>
      <c r="AD31" s="321">
        <f t="shared" si="6"/>
        <v>0</v>
      </c>
      <c r="AF31" s="321"/>
    </row>
    <row r="32" spans="1:32">
      <c r="B32" t="s">
        <v>766</v>
      </c>
      <c r="C32" s="321">
        <v>0</v>
      </c>
      <c r="D32" s="321">
        <v>0</v>
      </c>
      <c r="E32" s="321">
        <v>0</v>
      </c>
      <c r="F32" s="321">
        <v>0</v>
      </c>
      <c r="G32" s="321">
        <v>0</v>
      </c>
      <c r="H32" s="321">
        <v>0</v>
      </c>
      <c r="I32" s="321">
        <v>0</v>
      </c>
      <c r="J32" s="321">
        <v>0</v>
      </c>
      <c r="K32" s="321">
        <v>0</v>
      </c>
      <c r="L32" s="321">
        <v>0</v>
      </c>
      <c r="M32" s="321">
        <v>0</v>
      </c>
      <c r="N32" s="321">
        <v>0</v>
      </c>
      <c r="O32" s="321">
        <f t="shared" si="0"/>
        <v>0</v>
      </c>
      <c r="Q32" s="321"/>
      <c r="R32" s="321">
        <f t="shared" si="2"/>
        <v>0</v>
      </c>
      <c r="T32" s="321"/>
      <c r="U32" s="321">
        <f t="shared" si="7"/>
        <v>0</v>
      </c>
      <c r="W32" s="321"/>
      <c r="X32" s="321">
        <f t="shared" si="4"/>
        <v>0</v>
      </c>
      <c r="Z32" s="321"/>
      <c r="AA32" s="321">
        <f t="shared" si="8"/>
        <v>0</v>
      </c>
      <c r="AC32" s="321"/>
      <c r="AD32" s="321">
        <f t="shared" si="6"/>
        <v>0</v>
      </c>
      <c r="AF32" s="321"/>
    </row>
    <row r="33" spans="1:32">
      <c r="B33" t="s">
        <v>765</v>
      </c>
      <c r="C33" s="321">
        <v>0</v>
      </c>
      <c r="D33" s="321">
        <v>0</v>
      </c>
      <c r="E33" s="321">
        <v>0</v>
      </c>
      <c r="F33" s="321">
        <v>0</v>
      </c>
      <c r="G33" s="321">
        <v>0</v>
      </c>
      <c r="H33" s="321">
        <v>0</v>
      </c>
      <c r="I33" s="321">
        <v>0</v>
      </c>
      <c r="J33" s="321">
        <v>0</v>
      </c>
      <c r="K33" s="321">
        <v>0</v>
      </c>
      <c r="L33" s="321">
        <v>0</v>
      </c>
      <c r="M33" s="321">
        <v>0</v>
      </c>
      <c r="N33" s="321">
        <v>0</v>
      </c>
      <c r="O33" s="321">
        <f t="shared" si="0"/>
        <v>0</v>
      </c>
      <c r="Q33" s="321"/>
      <c r="R33" s="321">
        <f t="shared" si="2"/>
        <v>0</v>
      </c>
      <c r="T33" s="321"/>
      <c r="U33" s="321">
        <f t="shared" si="7"/>
        <v>0</v>
      </c>
      <c r="W33" s="321"/>
      <c r="X33" s="321">
        <f t="shared" si="4"/>
        <v>0</v>
      </c>
      <c r="Z33" s="321"/>
      <c r="AA33" s="321">
        <f t="shared" si="8"/>
        <v>0</v>
      </c>
      <c r="AC33" s="321"/>
      <c r="AD33" s="321">
        <f t="shared" si="6"/>
        <v>0</v>
      </c>
      <c r="AF33" s="321"/>
    </row>
    <row r="34" spans="1:32">
      <c r="A34" t="s">
        <v>837</v>
      </c>
      <c r="B34" t="s">
        <v>767</v>
      </c>
      <c r="C34" s="321">
        <v>0</v>
      </c>
      <c r="D34" s="321">
        <v>0</v>
      </c>
      <c r="E34" s="321">
        <v>0</v>
      </c>
      <c r="F34" s="321">
        <v>0</v>
      </c>
      <c r="G34" s="321">
        <v>0</v>
      </c>
      <c r="H34" s="321">
        <v>0</v>
      </c>
      <c r="I34" s="321">
        <v>0</v>
      </c>
      <c r="J34" s="321">
        <v>0</v>
      </c>
      <c r="K34" s="321">
        <v>33</v>
      </c>
      <c r="L34" s="321">
        <v>0</v>
      </c>
      <c r="M34" s="321">
        <v>0</v>
      </c>
      <c r="N34" s="321">
        <v>0</v>
      </c>
      <c r="O34" s="321">
        <f t="shared" si="0"/>
        <v>33</v>
      </c>
      <c r="Q34" s="321">
        <f t="shared" ref="Q34" si="9">+Q79</f>
        <v>0</v>
      </c>
      <c r="R34" s="321">
        <f t="shared" si="2"/>
        <v>33</v>
      </c>
      <c r="T34" s="321"/>
      <c r="U34" s="321">
        <f t="shared" si="7"/>
        <v>33</v>
      </c>
      <c r="W34" s="321"/>
      <c r="X34" s="321">
        <f t="shared" si="4"/>
        <v>33</v>
      </c>
      <c r="Z34" s="321"/>
      <c r="AA34" s="321">
        <f t="shared" si="8"/>
        <v>0</v>
      </c>
      <c r="AC34" s="321">
        <f t="shared" ref="AC34" si="10">+AC79</f>
        <v>0</v>
      </c>
      <c r="AD34" s="321">
        <f t="shared" si="6"/>
        <v>0</v>
      </c>
      <c r="AF34" s="321"/>
    </row>
    <row r="35" spans="1:32">
      <c r="B35" t="s">
        <v>766</v>
      </c>
      <c r="C35" s="321">
        <v>0</v>
      </c>
      <c r="D35" s="321">
        <v>0</v>
      </c>
      <c r="E35" s="321">
        <v>0</v>
      </c>
      <c r="F35" s="321">
        <v>0</v>
      </c>
      <c r="G35" s="321">
        <v>0</v>
      </c>
      <c r="H35" s="321">
        <v>0</v>
      </c>
      <c r="I35" s="321">
        <v>0</v>
      </c>
      <c r="J35" s="321">
        <v>0</v>
      </c>
      <c r="K35" s="321">
        <v>0</v>
      </c>
      <c r="L35" s="321">
        <v>0</v>
      </c>
      <c r="M35" s="321">
        <v>0</v>
      </c>
      <c r="N35" s="321">
        <v>0</v>
      </c>
      <c r="O35" s="321">
        <f t="shared" si="0"/>
        <v>0</v>
      </c>
      <c r="Q35" s="321"/>
      <c r="R35" s="321">
        <f t="shared" si="2"/>
        <v>0</v>
      </c>
      <c r="T35" s="321"/>
      <c r="U35" s="321">
        <f t="shared" si="7"/>
        <v>0</v>
      </c>
      <c r="W35" s="321"/>
      <c r="X35" s="321">
        <f t="shared" si="4"/>
        <v>0</v>
      </c>
      <c r="Z35" s="321"/>
      <c r="AA35" s="321">
        <f t="shared" si="8"/>
        <v>0</v>
      </c>
      <c r="AC35" s="321"/>
      <c r="AD35" s="321">
        <f t="shared" si="6"/>
        <v>0</v>
      </c>
      <c r="AF35" s="321"/>
    </row>
    <row r="36" spans="1:32">
      <c r="B36" t="s">
        <v>765</v>
      </c>
      <c r="C36" s="321">
        <v>0</v>
      </c>
      <c r="D36" s="321">
        <v>0</v>
      </c>
      <c r="E36" s="321">
        <v>0</v>
      </c>
      <c r="F36" s="321">
        <v>0</v>
      </c>
      <c r="G36" s="321">
        <v>0</v>
      </c>
      <c r="H36" s="321">
        <v>0</v>
      </c>
      <c r="I36" s="321">
        <v>0</v>
      </c>
      <c r="J36" s="321">
        <v>0</v>
      </c>
      <c r="K36" s="321">
        <v>0</v>
      </c>
      <c r="L36" s="321">
        <v>0</v>
      </c>
      <c r="M36" s="321">
        <v>0</v>
      </c>
      <c r="N36" s="321">
        <v>0</v>
      </c>
      <c r="O36" s="321">
        <f t="shared" si="0"/>
        <v>0</v>
      </c>
      <c r="Q36" s="321"/>
      <c r="R36" s="321">
        <f t="shared" si="2"/>
        <v>0</v>
      </c>
      <c r="T36" s="321"/>
      <c r="U36" s="321">
        <f t="shared" si="7"/>
        <v>0</v>
      </c>
      <c r="W36" s="321"/>
      <c r="X36" s="321">
        <f t="shared" si="4"/>
        <v>0</v>
      </c>
      <c r="Z36" s="321"/>
      <c r="AA36" s="321">
        <f t="shared" si="8"/>
        <v>0</v>
      </c>
      <c r="AC36" s="321"/>
      <c r="AD36" s="321">
        <f t="shared" si="6"/>
        <v>0</v>
      </c>
      <c r="AF36" s="321"/>
    </row>
    <row r="37" spans="1:32">
      <c r="A37" t="s">
        <v>836</v>
      </c>
      <c r="B37" t="s">
        <v>767</v>
      </c>
      <c r="C37" s="321">
        <v>0</v>
      </c>
      <c r="D37" s="321">
        <v>0</v>
      </c>
      <c r="E37" s="321">
        <v>0</v>
      </c>
      <c r="F37" s="321">
        <v>0</v>
      </c>
      <c r="G37" s="321">
        <v>0</v>
      </c>
      <c r="H37" s="321">
        <v>0</v>
      </c>
      <c r="I37" s="321">
        <v>0</v>
      </c>
      <c r="J37" s="321">
        <v>0</v>
      </c>
      <c r="K37" s="321">
        <v>10567.55</v>
      </c>
      <c r="L37" s="321">
        <v>0</v>
      </c>
      <c r="M37" s="321">
        <v>0</v>
      </c>
      <c r="N37" s="321">
        <v>0</v>
      </c>
      <c r="O37" s="321">
        <f t="shared" si="0"/>
        <v>10567.55</v>
      </c>
      <c r="Q37" s="321">
        <f>-Q40*2</f>
        <v>420.4</v>
      </c>
      <c r="R37" s="321">
        <f t="shared" si="2"/>
        <v>10987.949999999999</v>
      </c>
      <c r="T37" s="321"/>
      <c r="U37" s="321">
        <f t="shared" si="7"/>
        <v>10567.55</v>
      </c>
      <c r="W37" s="321">
        <f>-W40*2</f>
        <v>420.4</v>
      </c>
      <c r="X37" s="321">
        <f t="shared" si="4"/>
        <v>10987.949999999999</v>
      </c>
      <c r="Z37" s="321"/>
      <c r="AA37" s="321">
        <f t="shared" si="8"/>
        <v>0</v>
      </c>
      <c r="AC37" s="321">
        <f>-AC40*2</f>
        <v>0</v>
      </c>
      <c r="AD37" s="321">
        <f t="shared" si="6"/>
        <v>0</v>
      </c>
      <c r="AF37" s="321"/>
    </row>
    <row r="38" spans="1:32">
      <c r="B38" t="s">
        <v>766</v>
      </c>
      <c r="C38" s="321">
        <v>0</v>
      </c>
      <c r="D38" s="321">
        <v>0</v>
      </c>
      <c r="E38" s="321">
        <v>0</v>
      </c>
      <c r="F38" s="321">
        <v>0</v>
      </c>
      <c r="G38" s="321">
        <v>0</v>
      </c>
      <c r="H38" s="321">
        <v>0</v>
      </c>
      <c r="I38" s="321">
        <v>0</v>
      </c>
      <c r="J38" s="321">
        <v>0</v>
      </c>
      <c r="K38" s="321">
        <v>0</v>
      </c>
      <c r="L38" s="321">
        <v>0</v>
      </c>
      <c r="M38" s="321">
        <v>0</v>
      </c>
      <c r="N38" s="321">
        <v>0</v>
      </c>
      <c r="O38" s="321">
        <f t="shared" si="0"/>
        <v>0</v>
      </c>
      <c r="Q38" s="321">
        <f t="shared" ref="Q38:Q39" si="11">-Q41*2</f>
        <v>0</v>
      </c>
      <c r="R38" s="321">
        <f t="shared" si="2"/>
        <v>0</v>
      </c>
      <c r="T38" s="321"/>
      <c r="U38" s="321">
        <f t="shared" si="7"/>
        <v>0</v>
      </c>
      <c r="W38" s="321">
        <f t="shared" ref="W38:W39" si="12">-W41*2</f>
        <v>0</v>
      </c>
      <c r="X38" s="321">
        <f t="shared" si="4"/>
        <v>0</v>
      </c>
      <c r="Z38" s="321"/>
      <c r="AA38" s="321">
        <f t="shared" si="8"/>
        <v>0</v>
      </c>
      <c r="AC38" s="321">
        <f t="shared" ref="AC38:AC39" si="13">-AC41*2</f>
        <v>0</v>
      </c>
      <c r="AD38" s="321">
        <f t="shared" si="6"/>
        <v>0</v>
      </c>
      <c r="AF38" s="321"/>
    </row>
    <row r="39" spans="1:32">
      <c r="B39" t="s">
        <v>765</v>
      </c>
      <c r="C39" s="321">
        <v>0</v>
      </c>
      <c r="D39" s="321">
        <v>0</v>
      </c>
      <c r="E39" s="321">
        <v>0</v>
      </c>
      <c r="F39" s="321">
        <v>0</v>
      </c>
      <c r="G39" s="321">
        <v>0</v>
      </c>
      <c r="H39" s="321">
        <v>0</v>
      </c>
      <c r="I39" s="321">
        <v>0</v>
      </c>
      <c r="J39" s="321">
        <v>0</v>
      </c>
      <c r="K39" s="321">
        <v>0</v>
      </c>
      <c r="L39" s="321">
        <v>0</v>
      </c>
      <c r="M39" s="321">
        <v>0</v>
      </c>
      <c r="N39" s="321">
        <v>0</v>
      </c>
      <c r="O39" s="321">
        <f t="shared" si="0"/>
        <v>0</v>
      </c>
      <c r="Q39" s="321">
        <f t="shared" si="11"/>
        <v>0</v>
      </c>
      <c r="R39" s="321">
        <f t="shared" ref="R39:R62" si="14">+O39+Q39</f>
        <v>0</v>
      </c>
      <c r="T39" s="321"/>
      <c r="U39" s="321">
        <f t="shared" si="7"/>
        <v>0</v>
      </c>
      <c r="W39" s="321">
        <f t="shared" si="12"/>
        <v>0</v>
      </c>
      <c r="X39" s="321">
        <f t="shared" ref="X39:X62" si="15">+U39+W39</f>
        <v>0</v>
      </c>
      <c r="Z39" s="321"/>
      <c r="AA39" s="321">
        <f t="shared" si="8"/>
        <v>0</v>
      </c>
      <c r="AC39" s="321">
        <f t="shared" si="13"/>
        <v>0</v>
      </c>
      <c r="AD39" s="321">
        <f t="shared" ref="AD39:AD62" si="16">+AA39+AC39</f>
        <v>0</v>
      </c>
      <c r="AF39" s="321"/>
    </row>
    <row r="40" spans="1:32">
      <c r="A40" t="s">
        <v>835</v>
      </c>
      <c r="B40" t="s">
        <v>767</v>
      </c>
      <c r="C40" s="321">
        <v>0</v>
      </c>
      <c r="D40" s="321">
        <v>0</v>
      </c>
      <c r="E40" s="321">
        <v>0</v>
      </c>
      <c r="F40" s="321">
        <v>0</v>
      </c>
      <c r="G40" s="321">
        <v>0</v>
      </c>
      <c r="H40" s="321">
        <v>0</v>
      </c>
      <c r="I40" s="321">
        <v>0</v>
      </c>
      <c r="J40" s="321">
        <v>0</v>
      </c>
      <c r="K40" s="321">
        <v>210.2</v>
      </c>
      <c r="L40" s="321">
        <v>0</v>
      </c>
      <c r="M40" s="321">
        <v>0</v>
      </c>
      <c r="N40" s="321">
        <v>0</v>
      </c>
      <c r="O40" s="321">
        <f t="shared" si="0"/>
        <v>210.2</v>
      </c>
      <c r="Q40" s="321">
        <f>-O40</f>
        <v>-210.2</v>
      </c>
      <c r="R40" s="321">
        <f t="shared" si="14"/>
        <v>0</v>
      </c>
      <c r="T40" s="321"/>
      <c r="U40" s="321">
        <f t="shared" si="7"/>
        <v>210.2</v>
      </c>
      <c r="W40" s="321">
        <f>-U40</f>
        <v>-210.2</v>
      </c>
      <c r="X40" s="321">
        <f t="shared" si="15"/>
        <v>0</v>
      </c>
      <c r="Z40" s="321"/>
      <c r="AA40" s="321">
        <f t="shared" si="8"/>
        <v>0</v>
      </c>
      <c r="AC40" s="321">
        <f>-AA40</f>
        <v>0</v>
      </c>
      <c r="AD40" s="321">
        <f t="shared" si="16"/>
        <v>0</v>
      </c>
      <c r="AF40" s="321"/>
    </row>
    <row r="41" spans="1:32">
      <c r="B41" t="s">
        <v>766</v>
      </c>
      <c r="C41" s="321">
        <v>0</v>
      </c>
      <c r="D41" s="321">
        <v>0</v>
      </c>
      <c r="E41" s="321">
        <v>0</v>
      </c>
      <c r="F41" s="321">
        <v>0</v>
      </c>
      <c r="G41" s="321">
        <v>0</v>
      </c>
      <c r="H41" s="321">
        <v>0</v>
      </c>
      <c r="I41" s="321">
        <v>0</v>
      </c>
      <c r="J41" s="321">
        <v>0</v>
      </c>
      <c r="K41" s="321">
        <v>0</v>
      </c>
      <c r="L41" s="321">
        <v>0</v>
      </c>
      <c r="M41" s="321">
        <v>0</v>
      </c>
      <c r="N41" s="321">
        <v>0</v>
      </c>
      <c r="O41" s="321">
        <f t="shared" si="0"/>
        <v>0</v>
      </c>
      <c r="Q41" s="321">
        <f t="shared" ref="Q41:Q42" si="17">-O41</f>
        <v>0</v>
      </c>
      <c r="R41" s="321">
        <f t="shared" si="14"/>
        <v>0</v>
      </c>
      <c r="T41" s="321"/>
      <c r="U41" s="321">
        <f t="shared" si="7"/>
        <v>0</v>
      </c>
      <c r="W41" s="321">
        <f t="shared" ref="W41:W42" si="18">-U41</f>
        <v>0</v>
      </c>
      <c r="X41" s="321">
        <f t="shared" si="15"/>
        <v>0</v>
      </c>
      <c r="Z41" s="321"/>
      <c r="AA41" s="321">
        <f t="shared" si="8"/>
        <v>0</v>
      </c>
      <c r="AC41" s="321">
        <f t="shared" ref="AC41:AC42" si="19">-AA41</f>
        <v>0</v>
      </c>
      <c r="AD41" s="321">
        <f t="shared" si="16"/>
        <v>0</v>
      </c>
      <c r="AF41" s="321"/>
    </row>
    <row r="42" spans="1:32">
      <c r="B42" t="s">
        <v>765</v>
      </c>
      <c r="C42" s="321">
        <v>0</v>
      </c>
      <c r="D42" s="321">
        <v>0</v>
      </c>
      <c r="E42" s="321">
        <v>0</v>
      </c>
      <c r="F42" s="321">
        <v>0</v>
      </c>
      <c r="G42" s="321">
        <v>0</v>
      </c>
      <c r="H42" s="321">
        <v>0</v>
      </c>
      <c r="I42" s="321">
        <v>0</v>
      </c>
      <c r="J42" s="321">
        <v>0</v>
      </c>
      <c r="K42" s="321">
        <v>0</v>
      </c>
      <c r="L42" s="321">
        <v>0</v>
      </c>
      <c r="M42" s="321">
        <v>0</v>
      </c>
      <c r="N42" s="321">
        <v>0</v>
      </c>
      <c r="O42" s="321">
        <f t="shared" si="0"/>
        <v>0</v>
      </c>
      <c r="Q42" s="321">
        <f t="shared" si="17"/>
        <v>0</v>
      </c>
      <c r="R42" s="321">
        <f t="shared" si="14"/>
        <v>0</v>
      </c>
      <c r="T42" s="321"/>
      <c r="U42" s="321">
        <f t="shared" si="7"/>
        <v>0</v>
      </c>
      <c r="W42" s="321">
        <f t="shared" si="18"/>
        <v>0</v>
      </c>
      <c r="X42" s="321">
        <f t="shared" si="15"/>
        <v>0</v>
      </c>
      <c r="Z42" s="321"/>
      <c r="AA42" s="321">
        <f t="shared" si="8"/>
        <v>0</v>
      </c>
      <c r="AC42" s="321">
        <f t="shared" si="19"/>
        <v>0</v>
      </c>
      <c r="AD42" s="321">
        <f t="shared" si="16"/>
        <v>0</v>
      </c>
      <c r="AF42" s="321"/>
    </row>
    <row r="43" spans="1:32">
      <c r="A43" t="s">
        <v>834</v>
      </c>
      <c r="B43" t="s">
        <v>767</v>
      </c>
      <c r="C43" s="321">
        <v>0</v>
      </c>
      <c r="D43" s="321">
        <v>0</v>
      </c>
      <c r="E43" s="321">
        <v>0</v>
      </c>
      <c r="F43" s="321">
        <v>0</v>
      </c>
      <c r="G43" s="321">
        <v>0</v>
      </c>
      <c r="H43" s="321">
        <v>0</v>
      </c>
      <c r="I43" s="321">
        <v>0</v>
      </c>
      <c r="J43" s="321">
        <v>0</v>
      </c>
      <c r="K43" s="321">
        <v>10496.7</v>
      </c>
      <c r="L43" s="321">
        <v>0</v>
      </c>
      <c r="M43" s="321">
        <v>0</v>
      </c>
      <c r="N43" s="321">
        <v>0</v>
      </c>
      <c r="O43" s="321">
        <f t="shared" si="0"/>
        <v>10496.7</v>
      </c>
      <c r="Q43" s="321">
        <f>-Q46*2</f>
        <v>1147.8</v>
      </c>
      <c r="R43" s="321">
        <f t="shared" si="14"/>
        <v>11644.5</v>
      </c>
      <c r="T43" s="321"/>
      <c r="U43" s="321">
        <f t="shared" si="7"/>
        <v>10496.7</v>
      </c>
      <c r="W43" s="321">
        <f>-W46*2</f>
        <v>1147.8</v>
      </c>
      <c r="X43" s="321">
        <f t="shared" si="15"/>
        <v>11644.5</v>
      </c>
      <c r="Z43" s="321"/>
      <c r="AA43" s="321">
        <f t="shared" si="8"/>
        <v>0</v>
      </c>
      <c r="AC43" s="321">
        <f>-AC46*2</f>
        <v>0</v>
      </c>
      <c r="AD43" s="321">
        <f t="shared" si="16"/>
        <v>0</v>
      </c>
      <c r="AF43" s="321"/>
    </row>
    <row r="44" spans="1:32">
      <c r="B44" t="s">
        <v>766</v>
      </c>
      <c r="C44" s="321">
        <v>0</v>
      </c>
      <c r="D44" s="321">
        <v>0</v>
      </c>
      <c r="E44" s="321">
        <v>0</v>
      </c>
      <c r="F44" s="321">
        <v>0</v>
      </c>
      <c r="G44" s="321">
        <v>0</v>
      </c>
      <c r="H44" s="321">
        <v>0</v>
      </c>
      <c r="I44" s="321">
        <v>0</v>
      </c>
      <c r="J44" s="321">
        <v>0</v>
      </c>
      <c r="K44" s="321">
        <v>0</v>
      </c>
      <c r="L44" s="321">
        <v>0</v>
      </c>
      <c r="M44" s="321">
        <v>0</v>
      </c>
      <c r="N44" s="321">
        <v>0</v>
      </c>
      <c r="O44" s="321">
        <f t="shared" si="0"/>
        <v>0</v>
      </c>
      <c r="Q44" s="321">
        <f t="shared" ref="Q44:Q45" si="20">-Q47*2</f>
        <v>0</v>
      </c>
      <c r="R44" s="321">
        <f t="shared" si="14"/>
        <v>0</v>
      </c>
      <c r="T44" s="321"/>
      <c r="U44" s="321">
        <f t="shared" si="7"/>
        <v>0</v>
      </c>
      <c r="W44" s="321">
        <f t="shared" ref="W44:W45" si="21">-W47*2</f>
        <v>0</v>
      </c>
      <c r="X44" s="321">
        <f t="shared" si="15"/>
        <v>0</v>
      </c>
      <c r="Z44" s="321"/>
      <c r="AA44" s="321">
        <f t="shared" si="8"/>
        <v>0</v>
      </c>
      <c r="AC44" s="321">
        <f t="shared" ref="AC44:AC45" si="22">-AC47*2</f>
        <v>0</v>
      </c>
      <c r="AD44" s="321">
        <f t="shared" si="16"/>
        <v>0</v>
      </c>
      <c r="AF44" s="321"/>
    </row>
    <row r="45" spans="1:32">
      <c r="B45" t="s">
        <v>765</v>
      </c>
      <c r="C45" s="321">
        <v>0</v>
      </c>
      <c r="D45" s="321">
        <v>0</v>
      </c>
      <c r="E45" s="321">
        <v>0</v>
      </c>
      <c r="F45" s="321">
        <v>0</v>
      </c>
      <c r="G45" s="321">
        <v>0</v>
      </c>
      <c r="H45" s="321">
        <v>0</v>
      </c>
      <c r="I45" s="321">
        <v>0</v>
      </c>
      <c r="J45" s="321">
        <v>0</v>
      </c>
      <c r="K45" s="321">
        <v>0</v>
      </c>
      <c r="L45" s="321">
        <v>0</v>
      </c>
      <c r="M45" s="321">
        <v>0</v>
      </c>
      <c r="N45" s="321">
        <v>0</v>
      </c>
      <c r="O45" s="321">
        <f t="shared" si="0"/>
        <v>0</v>
      </c>
      <c r="Q45" s="321">
        <f t="shared" si="20"/>
        <v>0</v>
      </c>
      <c r="R45" s="321">
        <f t="shared" si="14"/>
        <v>0</v>
      </c>
      <c r="T45" s="321"/>
      <c r="U45" s="321">
        <f t="shared" si="7"/>
        <v>0</v>
      </c>
      <c r="W45" s="321">
        <f t="shared" si="21"/>
        <v>0</v>
      </c>
      <c r="X45" s="321">
        <f t="shared" si="15"/>
        <v>0</v>
      </c>
      <c r="Z45" s="321"/>
      <c r="AA45" s="321">
        <f t="shared" si="8"/>
        <v>0</v>
      </c>
      <c r="AC45" s="321">
        <f t="shared" si="22"/>
        <v>0</v>
      </c>
      <c r="AD45" s="321">
        <f t="shared" si="16"/>
        <v>0</v>
      </c>
      <c r="AF45" s="321"/>
    </row>
    <row r="46" spans="1:32">
      <c r="A46" t="s">
        <v>833</v>
      </c>
      <c r="B46" t="s">
        <v>767</v>
      </c>
      <c r="C46" s="321">
        <v>0</v>
      </c>
      <c r="D46" s="321">
        <v>0</v>
      </c>
      <c r="E46" s="321">
        <v>0</v>
      </c>
      <c r="F46" s="321">
        <v>0</v>
      </c>
      <c r="G46" s="321">
        <v>0</v>
      </c>
      <c r="H46" s="321">
        <v>0</v>
      </c>
      <c r="I46" s="321">
        <v>0</v>
      </c>
      <c r="J46" s="321">
        <v>0</v>
      </c>
      <c r="K46" s="321">
        <v>573.9</v>
      </c>
      <c r="L46" s="321">
        <v>0</v>
      </c>
      <c r="M46" s="321">
        <v>0</v>
      </c>
      <c r="N46" s="321">
        <v>0</v>
      </c>
      <c r="O46" s="321">
        <f t="shared" si="0"/>
        <v>573.9</v>
      </c>
      <c r="Q46" s="321">
        <f>-O46</f>
        <v>-573.9</v>
      </c>
      <c r="R46" s="321">
        <f t="shared" si="14"/>
        <v>0</v>
      </c>
      <c r="T46" s="321"/>
      <c r="U46" s="321">
        <f t="shared" si="7"/>
        <v>573.9</v>
      </c>
      <c r="W46" s="321">
        <f>-U46</f>
        <v>-573.9</v>
      </c>
      <c r="X46" s="321">
        <f t="shared" si="15"/>
        <v>0</v>
      </c>
      <c r="Z46" s="321"/>
      <c r="AA46" s="321">
        <f t="shared" si="8"/>
        <v>0</v>
      </c>
      <c r="AC46" s="321">
        <f>-AA46</f>
        <v>0</v>
      </c>
      <c r="AD46" s="321">
        <f t="shared" si="16"/>
        <v>0</v>
      </c>
      <c r="AF46" s="321"/>
    </row>
    <row r="47" spans="1:32">
      <c r="B47" t="s">
        <v>766</v>
      </c>
      <c r="C47" s="321">
        <v>0</v>
      </c>
      <c r="D47" s="321">
        <v>0</v>
      </c>
      <c r="E47" s="321">
        <v>0</v>
      </c>
      <c r="F47" s="321">
        <v>0</v>
      </c>
      <c r="G47" s="321">
        <v>0</v>
      </c>
      <c r="H47" s="321">
        <v>0</v>
      </c>
      <c r="I47" s="321">
        <v>0</v>
      </c>
      <c r="J47" s="321">
        <v>0</v>
      </c>
      <c r="K47" s="321">
        <v>0</v>
      </c>
      <c r="L47" s="321">
        <v>0</v>
      </c>
      <c r="M47" s="321">
        <v>0</v>
      </c>
      <c r="N47" s="321">
        <v>0</v>
      </c>
      <c r="O47" s="321">
        <f t="shared" si="0"/>
        <v>0</v>
      </c>
      <c r="Q47" s="321">
        <f t="shared" ref="Q47:Q48" si="23">-O47</f>
        <v>0</v>
      </c>
      <c r="R47" s="321">
        <f t="shared" si="14"/>
        <v>0</v>
      </c>
      <c r="T47" s="321"/>
      <c r="U47" s="321">
        <f t="shared" si="7"/>
        <v>0</v>
      </c>
      <c r="W47" s="321">
        <f t="shared" ref="W47:W48" si="24">-U47</f>
        <v>0</v>
      </c>
      <c r="X47" s="321">
        <f t="shared" si="15"/>
        <v>0</v>
      </c>
      <c r="Z47" s="321"/>
      <c r="AA47" s="321">
        <f t="shared" si="8"/>
        <v>0</v>
      </c>
      <c r="AC47" s="321">
        <f t="shared" ref="AC47:AC48" si="25">-AA47</f>
        <v>0</v>
      </c>
      <c r="AD47" s="321">
        <f t="shared" si="16"/>
        <v>0</v>
      </c>
      <c r="AF47" s="321"/>
    </row>
    <row r="48" spans="1:32">
      <c r="B48" t="s">
        <v>765</v>
      </c>
      <c r="C48" s="321">
        <v>0</v>
      </c>
      <c r="D48" s="321">
        <v>0</v>
      </c>
      <c r="E48" s="321">
        <v>0</v>
      </c>
      <c r="F48" s="321">
        <v>0</v>
      </c>
      <c r="G48" s="321">
        <v>0</v>
      </c>
      <c r="H48" s="321">
        <v>0</v>
      </c>
      <c r="I48" s="321">
        <v>0</v>
      </c>
      <c r="J48" s="321">
        <v>0</v>
      </c>
      <c r="K48" s="321">
        <v>0</v>
      </c>
      <c r="L48" s="321">
        <v>0</v>
      </c>
      <c r="M48" s="321">
        <v>0</v>
      </c>
      <c r="N48" s="321">
        <v>0</v>
      </c>
      <c r="O48" s="321">
        <f t="shared" si="0"/>
        <v>0</v>
      </c>
      <c r="Q48" s="321">
        <f t="shared" si="23"/>
        <v>0</v>
      </c>
      <c r="R48" s="321">
        <f t="shared" si="14"/>
        <v>0</v>
      </c>
      <c r="T48" s="321"/>
      <c r="U48" s="321">
        <f t="shared" si="7"/>
        <v>0</v>
      </c>
      <c r="W48" s="321">
        <f t="shared" si="24"/>
        <v>0</v>
      </c>
      <c r="X48" s="321">
        <f t="shared" si="15"/>
        <v>0</v>
      </c>
      <c r="Z48" s="321"/>
      <c r="AA48" s="321">
        <f t="shared" si="8"/>
        <v>0</v>
      </c>
      <c r="AC48" s="321">
        <f t="shared" si="25"/>
        <v>0</v>
      </c>
      <c r="AD48" s="321">
        <f t="shared" si="16"/>
        <v>0</v>
      </c>
      <c r="AF48" s="321"/>
    </row>
    <row r="49" spans="1:32">
      <c r="A49" t="s">
        <v>832</v>
      </c>
      <c r="B49" t="s">
        <v>767</v>
      </c>
      <c r="C49" s="321">
        <v>0</v>
      </c>
      <c r="D49" s="321">
        <v>0</v>
      </c>
      <c r="E49" s="321">
        <v>0</v>
      </c>
      <c r="F49" s="321">
        <v>0</v>
      </c>
      <c r="G49" s="321">
        <v>0</v>
      </c>
      <c r="H49" s="321">
        <v>0</v>
      </c>
      <c r="I49" s="321">
        <v>0</v>
      </c>
      <c r="J49" s="321">
        <v>0</v>
      </c>
      <c r="K49" s="321">
        <v>9</v>
      </c>
      <c r="L49" s="321">
        <v>0</v>
      </c>
      <c r="M49" s="321">
        <v>0</v>
      </c>
      <c r="N49" s="321">
        <v>0</v>
      </c>
      <c r="O49" s="321">
        <f t="shared" si="0"/>
        <v>9</v>
      </c>
      <c r="Q49" s="321"/>
      <c r="R49" s="321">
        <f t="shared" si="14"/>
        <v>9</v>
      </c>
      <c r="T49" s="321"/>
      <c r="U49" s="321">
        <f t="shared" si="7"/>
        <v>9</v>
      </c>
      <c r="W49" s="321"/>
      <c r="X49" s="321">
        <f t="shared" si="15"/>
        <v>9</v>
      </c>
      <c r="Z49" s="321"/>
      <c r="AA49" s="321">
        <f t="shared" si="8"/>
        <v>0</v>
      </c>
      <c r="AC49" s="321"/>
      <c r="AD49" s="321">
        <f>+AA49+AC49</f>
        <v>0</v>
      </c>
      <c r="AF49" s="321"/>
    </row>
    <row r="50" spans="1:32">
      <c r="B50" t="s">
        <v>766</v>
      </c>
      <c r="C50" s="321">
        <v>0</v>
      </c>
      <c r="D50" s="321">
        <v>0</v>
      </c>
      <c r="E50" s="321">
        <v>0</v>
      </c>
      <c r="F50" s="321">
        <v>0</v>
      </c>
      <c r="G50" s="321">
        <v>0</v>
      </c>
      <c r="H50" s="321">
        <v>0</v>
      </c>
      <c r="I50" s="321">
        <v>0</v>
      </c>
      <c r="J50" s="321">
        <v>0</v>
      </c>
      <c r="K50" s="321">
        <v>0</v>
      </c>
      <c r="L50" s="321">
        <v>0</v>
      </c>
      <c r="M50" s="321">
        <v>0</v>
      </c>
      <c r="N50" s="321">
        <v>0</v>
      </c>
      <c r="O50" s="321">
        <f t="shared" si="0"/>
        <v>0</v>
      </c>
      <c r="Q50" s="321"/>
      <c r="R50" s="321">
        <f t="shared" si="14"/>
        <v>0</v>
      </c>
      <c r="T50" s="321"/>
      <c r="U50" s="321">
        <f t="shared" si="7"/>
        <v>0</v>
      </c>
      <c r="W50" s="321"/>
      <c r="X50" s="321">
        <f t="shared" si="15"/>
        <v>0</v>
      </c>
      <c r="Z50" s="321"/>
      <c r="AA50" s="321">
        <f t="shared" si="8"/>
        <v>0</v>
      </c>
      <c r="AC50" s="321"/>
      <c r="AD50" s="321">
        <f t="shared" si="16"/>
        <v>0</v>
      </c>
      <c r="AF50" s="321"/>
    </row>
    <row r="51" spans="1:32">
      <c r="B51" t="s">
        <v>765</v>
      </c>
      <c r="C51" s="321">
        <v>0</v>
      </c>
      <c r="D51" s="321">
        <v>0</v>
      </c>
      <c r="E51" s="321">
        <v>0</v>
      </c>
      <c r="F51" s="321">
        <v>0</v>
      </c>
      <c r="G51" s="321">
        <v>0</v>
      </c>
      <c r="H51" s="321">
        <v>0</v>
      </c>
      <c r="I51" s="321">
        <v>0</v>
      </c>
      <c r="J51" s="321">
        <v>0</v>
      </c>
      <c r="K51" s="321">
        <v>0</v>
      </c>
      <c r="L51" s="321">
        <v>0</v>
      </c>
      <c r="M51" s="321">
        <v>0</v>
      </c>
      <c r="N51" s="321">
        <v>0</v>
      </c>
      <c r="O51" s="321">
        <f t="shared" si="0"/>
        <v>0</v>
      </c>
      <c r="Q51" s="321">
        <f>+Q84</f>
        <v>0</v>
      </c>
      <c r="R51" s="321">
        <f t="shared" si="14"/>
        <v>0</v>
      </c>
      <c r="T51" s="321"/>
      <c r="U51" s="321">
        <f t="shared" si="7"/>
        <v>0</v>
      </c>
      <c r="W51" s="321"/>
      <c r="X51" s="321">
        <f t="shared" si="15"/>
        <v>0</v>
      </c>
      <c r="Z51" s="321"/>
      <c r="AA51" s="321">
        <f t="shared" si="8"/>
        <v>0</v>
      </c>
      <c r="AC51" s="321">
        <f>+AC84</f>
        <v>0</v>
      </c>
      <c r="AD51" s="321">
        <f t="shared" si="16"/>
        <v>0</v>
      </c>
      <c r="AF51" s="321"/>
    </row>
    <row r="52" spans="1:32">
      <c r="A52" t="s">
        <v>831</v>
      </c>
      <c r="B52" t="s">
        <v>767</v>
      </c>
      <c r="C52" s="321">
        <v>0</v>
      </c>
      <c r="D52" s="321">
        <v>0</v>
      </c>
      <c r="E52" s="321">
        <v>0</v>
      </c>
      <c r="F52" s="321">
        <v>0</v>
      </c>
      <c r="G52" s="321">
        <v>0</v>
      </c>
      <c r="H52" s="321">
        <v>0</v>
      </c>
      <c r="I52" s="321">
        <v>0</v>
      </c>
      <c r="J52" s="321">
        <v>0</v>
      </c>
      <c r="K52" s="321">
        <v>31</v>
      </c>
      <c r="L52" s="321">
        <v>0</v>
      </c>
      <c r="M52" s="321">
        <v>0</v>
      </c>
      <c r="N52" s="321">
        <v>0</v>
      </c>
      <c r="O52" s="321">
        <f t="shared" si="0"/>
        <v>31</v>
      </c>
      <c r="R52" s="321">
        <f t="shared" si="14"/>
        <v>31</v>
      </c>
      <c r="T52" s="321"/>
      <c r="U52" s="321">
        <f t="shared" si="7"/>
        <v>31</v>
      </c>
      <c r="X52" s="321">
        <f t="shared" si="15"/>
        <v>31</v>
      </c>
      <c r="Z52" s="321"/>
      <c r="AA52" s="321">
        <f t="shared" si="8"/>
        <v>0</v>
      </c>
      <c r="AD52" s="321">
        <f t="shared" si="16"/>
        <v>0</v>
      </c>
      <c r="AF52" s="321"/>
    </row>
    <row r="53" spans="1:32">
      <c r="B53" t="s">
        <v>766</v>
      </c>
      <c r="C53" s="321">
        <v>0</v>
      </c>
      <c r="D53" s="321">
        <v>0</v>
      </c>
      <c r="E53" s="321">
        <v>0</v>
      </c>
      <c r="F53" s="321">
        <v>0</v>
      </c>
      <c r="G53" s="321">
        <v>0</v>
      </c>
      <c r="H53" s="321">
        <v>0</v>
      </c>
      <c r="I53" s="321">
        <v>0</v>
      </c>
      <c r="J53" s="321">
        <v>0</v>
      </c>
      <c r="K53" s="321">
        <v>0</v>
      </c>
      <c r="L53" s="321">
        <v>0</v>
      </c>
      <c r="M53" s="321">
        <v>0</v>
      </c>
      <c r="N53" s="321">
        <v>0</v>
      </c>
      <c r="O53" s="321">
        <f t="shared" si="0"/>
        <v>0</v>
      </c>
      <c r="R53" s="321">
        <f t="shared" si="14"/>
        <v>0</v>
      </c>
      <c r="T53" s="321"/>
      <c r="U53" s="321">
        <f t="shared" si="7"/>
        <v>0</v>
      </c>
      <c r="X53" s="321">
        <f t="shared" si="15"/>
        <v>0</v>
      </c>
      <c r="Z53" s="321"/>
      <c r="AA53" s="321">
        <f t="shared" si="8"/>
        <v>0</v>
      </c>
      <c r="AD53" s="321">
        <f t="shared" si="16"/>
        <v>0</v>
      </c>
      <c r="AF53" s="321"/>
    </row>
    <row r="54" spans="1:32">
      <c r="B54" t="s">
        <v>765</v>
      </c>
      <c r="C54" s="321">
        <v>0</v>
      </c>
      <c r="D54" s="321">
        <v>0</v>
      </c>
      <c r="E54" s="321">
        <v>0</v>
      </c>
      <c r="F54" s="321">
        <v>0</v>
      </c>
      <c r="G54" s="321">
        <v>0</v>
      </c>
      <c r="H54" s="321">
        <v>0</v>
      </c>
      <c r="I54" s="321">
        <v>0</v>
      </c>
      <c r="J54" s="321">
        <v>0</v>
      </c>
      <c r="K54" s="321">
        <v>0</v>
      </c>
      <c r="L54" s="321">
        <v>0</v>
      </c>
      <c r="M54" s="321">
        <v>0</v>
      </c>
      <c r="N54" s="321">
        <v>0</v>
      </c>
      <c r="O54" s="321">
        <f t="shared" si="0"/>
        <v>0</v>
      </c>
      <c r="R54" s="321">
        <f t="shared" si="14"/>
        <v>0</v>
      </c>
      <c r="T54" s="321"/>
      <c r="U54" s="321">
        <f t="shared" si="7"/>
        <v>0</v>
      </c>
      <c r="X54" s="321">
        <f t="shared" si="15"/>
        <v>0</v>
      </c>
      <c r="Z54" s="321"/>
      <c r="AA54" s="321">
        <f t="shared" si="8"/>
        <v>0</v>
      </c>
      <c r="AD54" s="321">
        <f t="shared" si="16"/>
        <v>0</v>
      </c>
      <c r="AF54" s="321"/>
    </row>
    <row r="55" spans="1:32">
      <c r="A55" t="s">
        <v>830</v>
      </c>
      <c r="B55" t="s">
        <v>767</v>
      </c>
      <c r="C55" s="321">
        <v>0</v>
      </c>
      <c r="D55" s="321">
        <v>0</v>
      </c>
      <c r="E55" s="321">
        <v>0</v>
      </c>
      <c r="F55" s="321">
        <v>0</v>
      </c>
      <c r="G55" s="321">
        <v>0</v>
      </c>
      <c r="H55" s="321">
        <v>0</v>
      </c>
      <c r="I55" s="321">
        <v>0</v>
      </c>
      <c r="J55" s="321">
        <v>0</v>
      </c>
      <c r="K55" s="321">
        <v>6</v>
      </c>
      <c r="L55" s="321">
        <v>0</v>
      </c>
      <c r="M55" s="321">
        <v>0</v>
      </c>
      <c r="N55" s="321">
        <v>0</v>
      </c>
      <c r="O55" s="321">
        <f t="shared" si="0"/>
        <v>6</v>
      </c>
      <c r="R55" s="321">
        <f t="shared" si="14"/>
        <v>6</v>
      </c>
      <c r="T55" s="321"/>
      <c r="U55" s="321">
        <f t="shared" si="7"/>
        <v>6</v>
      </c>
      <c r="X55" s="321">
        <f t="shared" si="15"/>
        <v>6</v>
      </c>
      <c r="Z55" s="321"/>
      <c r="AA55" s="321">
        <f t="shared" si="8"/>
        <v>0</v>
      </c>
      <c r="AD55" s="321">
        <f t="shared" si="16"/>
        <v>0</v>
      </c>
      <c r="AF55" s="321"/>
    </row>
    <row r="56" spans="1:32">
      <c r="B56" t="s">
        <v>766</v>
      </c>
      <c r="C56" s="321">
        <v>0</v>
      </c>
      <c r="D56" s="321">
        <v>0</v>
      </c>
      <c r="E56" s="321">
        <v>0</v>
      </c>
      <c r="F56" s="321">
        <v>0</v>
      </c>
      <c r="G56" s="321">
        <v>0</v>
      </c>
      <c r="H56" s="321">
        <v>0</v>
      </c>
      <c r="I56" s="321">
        <v>0</v>
      </c>
      <c r="J56" s="321">
        <v>0</v>
      </c>
      <c r="K56" s="321">
        <v>0</v>
      </c>
      <c r="L56" s="321">
        <v>0</v>
      </c>
      <c r="M56" s="321">
        <v>0</v>
      </c>
      <c r="N56" s="321">
        <v>0</v>
      </c>
      <c r="O56" s="321">
        <f t="shared" si="0"/>
        <v>0</v>
      </c>
      <c r="R56" s="321">
        <f t="shared" si="14"/>
        <v>0</v>
      </c>
      <c r="T56" s="321"/>
      <c r="U56" s="321">
        <f t="shared" si="7"/>
        <v>0</v>
      </c>
      <c r="X56" s="321">
        <f t="shared" si="15"/>
        <v>0</v>
      </c>
      <c r="Z56" s="321"/>
      <c r="AA56" s="321">
        <f t="shared" si="8"/>
        <v>0</v>
      </c>
      <c r="AD56" s="321">
        <f t="shared" si="16"/>
        <v>0</v>
      </c>
      <c r="AF56" s="321"/>
    </row>
    <row r="57" spans="1:32">
      <c r="B57" t="s">
        <v>765</v>
      </c>
      <c r="C57" s="321">
        <v>0</v>
      </c>
      <c r="D57" s="321">
        <v>0</v>
      </c>
      <c r="E57" s="321">
        <v>0</v>
      </c>
      <c r="F57" s="321">
        <v>0</v>
      </c>
      <c r="G57" s="321">
        <v>0</v>
      </c>
      <c r="H57" s="321">
        <v>0</v>
      </c>
      <c r="I57" s="321">
        <v>0</v>
      </c>
      <c r="J57" s="321">
        <v>0</v>
      </c>
      <c r="K57" s="321">
        <v>0</v>
      </c>
      <c r="L57" s="321">
        <v>0</v>
      </c>
      <c r="M57" s="321">
        <v>0</v>
      </c>
      <c r="N57" s="321">
        <v>0</v>
      </c>
      <c r="O57" s="321">
        <f t="shared" si="0"/>
        <v>0</v>
      </c>
      <c r="R57" s="321">
        <f t="shared" si="14"/>
        <v>0</v>
      </c>
      <c r="T57" s="321"/>
      <c r="U57" s="321">
        <f t="shared" si="7"/>
        <v>0</v>
      </c>
      <c r="X57" s="321">
        <f t="shared" si="15"/>
        <v>0</v>
      </c>
      <c r="Z57" s="321"/>
      <c r="AA57" s="321">
        <f t="shared" si="8"/>
        <v>0</v>
      </c>
      <c r="AD57" s="321">
        <f t="shared" si="16"/>
        <v>0</v>
      </c>
      <c r="AF57" s="321"/>
    </row>
    <row r="58" spans="1:32">
      <c r="A58" t="s">
        <v>829</v>
      </c>
      <c r="B58" t="s">
        <v>767</v>
      </c>
      <c r="C58" s="321">
        <v>0</v>
      </c>
      <c r="D58" s="321">
        <v>0</v>
      </c>
      <c r="E58" s="321">
        <v>0</v>
      </c>
      <c r="F58" s="321">
        <v>0</v>
      </c>
      <c r="G58" s="321">
        <v>0</v>
      </c>
      <c r="H58" s="321">
        <v>0</v>
      </c>
      <c r="I58" s="321">
        <v>0</v>
      </c>
      <c r="J58" s="321">
        <v>0</v>
      </c>
      <c r="K58" s="321">
        <v>2</v>
      </c>
      <c r="L58" s="321">
        <v>0</v>
      </c>
      <c r="M58" s="321">
        <v>0</v>
      </c>
      <c r="N58" s="321">
        <v>0</v>
      </c>
      <c r="O58" s="321">
        <f t="shared" si="0"/>
        <v>2</v>
      </c>
      <c r="R58" s="321">
        <f t="shared" si="14"/>
        <v>2</v>
      </c>
      <c r="T58" s="321"/>
      <c r="U58" s="321">
        <f t="shared" si="7"/>
        <v>2</v>
      </c>
      <c r="X58" s="321">
        <f t="shared" si="15"/>
        <v>2</v>
      </c>
      <c r="Z58" s="321"/>
      <c r="AA58" s="321">
        <f t="shared" si="8"/>
        <v>0</v>
      </c>
      <c r="AD58" s="321">
        <f t="shared" si="16"/>
        <v>0</v>
      </c>
      <c r="AF58" s="321"/>
    </row>
    <row r="59" spans="1:32">
      <c r="B59" t="s">
        <v>766</v>
      </c>
      <c r="C59" s="321">
        <v>0</v>
      </c>
      <c r="D59" s="321">
        <v>0</v>
      </c>
      <c r="E59" s="321">
        <v>0</v>
      </c>
      <c r="F59" s="321">
        <v>0</v>
      </c>
      <c r="G59" s="321">
        <v>0</v>
      </c>
      <c r="H59" s="321">
        <v>0</v>
      </c>
      <c r="I59" s="321">
        <v>0</v>
      </c>
      <c r="J59" s="321">
        <v>0</v>
      </c>
      <c r="K59" s="321">
        <v>0</v>
      </c>
      <c r="L59" s="321">
        <v>0</v>
      </c>
      <c r="M59" s="321">
        <v>0</v>
      </c>
      <c r="N59" s="321">
        <v>0</v>
      </c>
      <c r="O59" s="321">
        <f t="shared" si="0"/>
        <v>0</v>
      </c>
      <c r="R59" s="321">
        <f t="shared" si="14"/>
        <v>0</v>
      </c>
      <c r="T59" s="321"/>
      <c r="U59" s="321">
        <f t="shared" si="7"/>
        <v>0</v>
      </c>
      <c r="X59" s="321">
        <f t="shared" si="15"/>
        <v>0</v>
      </c>
      <c r="Z59" s="321"/>
      <c r="AA59" s="321">
        <f t="shared" si="8"/>
        <v>0</v>
      </c>
      <c r="AD59" s="321">
        <f t="shared" si="16"/>
        <v>0</v>
      </c>
      <c r="AF59" s="321"/>
    </row>
    <row r="60" spans="1:32">
      <c r="B60" t="s">
        <v>765</v>
      </c>
      <c r="C60" s="321">
        <v>0</v>
      </c>
      <c r="D60" s="321">
        <v>0</v>
      </c>
      <c r="E60" s="321">
        <v>0</v>
      </c>
      <c r="F60" s="321">
        <v>0</v>
      </c>
      <c r="G60" s="321">
        <v>0</v>
      </c>
      <c r="H60" s="321">
        <v>0</v>
      </c>
      <c r="I60" s="321">
        <v>0</v>
      </c>
      <c r="J60" s="321">
        <v>0</v>
      </c>
      <c r="K60" s="321">
        <v>0</v>
      </c>
      <c r="L60" s="321">
        <v>0</v>
      </c>
      <c r="M60" s="321">
        <v>0</v>
      </c>
      <c r="N60" s="321">
        <v>0</v>
      </c>
      <c r="O60" s="321">
        <f t="shared" si="0"/>
        <v>0</v>
      </c>
      <c r="R60" s="321">
        <f t="shared" si="14"/>
        <v>0</v>
      </c>
      <c r="T60" s="321"/>
      <c r="U60" s="321">
        <f t="shared" si="7"/>
        <v>0</v>
      </c>
      <c r="X60" s="321">
        <f t="shared" si="15"/>
        <v>0</v>
      </c>
      <c r="Z60" s="321"/>
      <c r="AA60" s="321">
        <f t="shared" si="8"/>
        <v>0</v>
      </c>
      <c r="AD60" s="321">
        <f t="shared" si="16"/>
        <v>0</v>
      </c>
      <c r="AF60" s="321"/>
    </row>
    <row r="61" spans="1:32">
      <c r="A61" s="83" t="s">
        <v>1286</v>
      </c>
      <c r="B61" t="s">
        <v>767</v>
      </c>
      <c r="C61" s="321">
        <v>0</v>
      </c>
      <c r="D61" s="321">
        <v>0</v>
      </c>
      <c r="E61" s="321">
        <v>0</v>
      </c>
      <c r="F61" s="321">
        <v>0</v>
      </c>
      <c r="G61" s="321">
        <v>0</v>
      </c>
      <c r="H61" s="321">
        <v>0</v>
      </c>
      <c r="I61" s="321">
        <v>0</v>
      </c>
      <c r="J61" s="321">
        <v>0</v>
      </c>
      <c r="K61" s="321">
        <v>3529.15</v>
      </c>
      <c r="L61" s="321">
        <v>0</v>
      </c>
      <c r="M61" s="321">
        <v>0</v>
      </c>
      <c r="N61" s="321">
        <v>0</v>
      </c>
      <c r="O61" s="321">
        <f t="shared" ref="O61:O63" si="26">SUM(C61:N61)</f>
        <v>3529.15</v>
      </c>
      <c r="Q61" s="321"/>
      <c r="R61" s="321">
        <f t="shared" si="14"/>
        <v>3529.15</v>
      </c>
      <c r="T61" s="321"/>
      <c r="U61" s="321">
        <f t="shared" si="7"/>
        <v>3529.15</v>
      </c>
      <c r="W61" s="321"/>
      <c r="X61" s="321">
        <f t="shared" si="15"/>
        <v>3529.15</v>
      </c>
      <c r="Z61" s="321"/>
      <c r="AA61" s="321">
        <f t="shared" si="8"/>
        <v>0</v>
      </c>
      <c r="AC61" s="321">
        <f t="shared" ref="AC61:AC63" si="27">+AC106</f>
        <v>0</v>
      </c>
      <c r="AD61" s="321">
        <f t="shared" si="16"/>
        <v>0</v>
      </c>
      <c r="AF61" s="321"/>
    </row>
    <row r="62" spans="1:32">
      <c r="B62" t="s">
        <v>766</v>
      </c>
      <c r="C62" s="321">
        <v>0</v>
      </c>
      <c r="D62" s="321">
        <v>0</v>
      </c>
      <c r="E62" s="321">
        <v>0</v>
      </c>
      <c r="F62" s="321">
        <v>0</v>
      </c>
      <c r="G62" s="321">
        <v>0</v>
      </c>
      <c r="H62" s="321">
        <v>0</v>
      </c>
      <c r="I62" s="321">
        <v>0</v>
      </c>
      <c r="J62" s="321">
        <v>0</v>
      </c>
      <c r="K62" s="321">
        <v>0</v>
      </c>
      <c r="L62" s="321">
        <v>0</v>
      </c>
      <c r="M62" s="321">
        <v>0</v>
      </c>
      <c r="N62" s="321">
        <v>0</v>
      </c>
      <c r="O62" s="321">
        <f t="shared" si="26"/>
        <v>0</v>
      </c>
      <c r="Q62" s="321"/>
      <c r="R62" s="321">
        <f t="shared" si="14"/>
        <v>0</v>
      </c>
      <c r="T62" s="321"/>
      <c r="U62" s="321">
        <f t="shared" si="7"/>
        <v>0</v>
      </c>
      <c r="W62" s="321"/>
      <c r="X62" s="321">
        <f t="shared" si="15"/>
        <v>0</v>
      </c>
      <c r="Z62" s="321"/>
      <c r="AA62" s="321">
        <f t="shared" si="8"/>
        <v>0</v>
      </c>
      <c r="AC62" s="321">
        <f t="shared" si="27"/>
        <v>0</v>
      </c>
      <c r="AD62" s="321">
        <f t="shared" si="16"/>
        <v>0</v>
      </c>
      <c r="AF62" s="321"/>
    </row>
    <row r="63" spans="1:32">
      <c r="B63" t="s">
        <v>765</v>
      </c>
      <c r="C63" s="321">
        <v>0</v>
      </c>
      <c r="D63" s="321">
        <v>0</v>
      </c>
      <c r="E63" s="321">
        <v>0</v>
      </c>
      <c r="F63" s="321">
        <v>0</v>
      </c>
      <c r="G63" s="321">
        <v>0</v>
      </c>
      <c r="H63" s="321">
        <v>0</v>
      </c>
      <c r="I63" s="321">
        <v>0</v>
      </c>
      <c r="J63" s="321">
        <v>0</v>
      </c>
      <c r="K63" s="321">
        <v>0</v>
      </c>
      <c r="L63" s="321">
        <v>0</v>
      </c>
      <c r="M63" s="321">
        <v>0</v>
      </c>
      <c r="N63" s="321">
        <v>0</v>
      </c>
      <c r="O63" s="321">
        <f t="shared" si="26"/>
        <v>0</v>
      </c>
      <c r="Q63" s="321"/>
      <c r="R63" s="321">
        <f t="shared" ref="R63" si="28">+O63+Q63</f>
        <v>0</v>
      </c>
      <c r="T63" s="321"/>
      <c r="U63" s="321">
        <f t="shared" si="7"/>
        <v>0</v>
      </c>
      <c r="W63" s="321"/>
      <c r="X63" s="321">
        <f t="shared" ref="X63" si="29">+U63+W63</f>
        <v>0</v>
      </c>
      <c r="Z63" s="321"/>
      <c r="AA63" s="321">
        <f t="shared" si="8"/>
        <v>0</v>
      </c>
      <c r="AC63" s="321">
        <f t="shared" si="27"/>
        <v>0</v>
      </c>
      <c r="AD63" s="321">
        <f t="shared" ref="AD63" si="30">+AA63+AC63</f>
        <v>0</v>
      </c>
      <c r="AF63" s="321"/>
    </row>
    <row r="64" spans="1:32">
      <c r="A64" t="s">
        <v>828</v>
      </c>
      <c r="B64" t="s">
        <v>767</v>
      </c>
      <c r="C64" s="321">
        <v>0</v>
      </c>
      <c r="D64" s="321">
        <v>0</v>
      </c>
      <c r="E64" s="321">
        <v>0</v>
      </c>
      <c r="F64" s="321">
        <v>0</v>
      </c>
      <c r="G64" s="321">
        <v>0</v>
      </c>
      <c r="H64" s="321">
        <v>0</v>
      </c>
      <c r="I64" s="321">
        <v>0</v>
      </c>
      <c r="J64" s="321">
        <v>0</v>
      </c>
      <c r="K64" s="321">
        <v>0</v>
      </c>
      <c r="L64" s="321">
        <v>0</v>
      </c>
      <c r="M64" s="321">
        <v>0</v>
      </c>
      <c r="N64" s="321">
        <v>0</v>
      </c>
      <c r="O64" s="321">
        <f t="shared" si="0"/>
        <v>0</v>
      </c>
      <c r="P64">
        <v>4.33</v>
      </c>
      <c r="Q64" s="321">
        <f t="shared" ref="Q64:Q81" si="31">+O64/P64</f>
        <v>0</v>
      </c>
      <c r="T64" s="321"/>
      <c r="U64" s="321">
        <f t="shared" si="7"/>
        <v>0</v>
      </c>
      <c r="V64">
        <v>4.33</v>
      </c>
      <c r="W64" s="321">
        <f t="shared" ref="W64:W81" si="32">+U64/V64</f>
        <v>0</v>
      </c>
      <c r="Z64" s="321"/>
      <c r="AA64" s="321">
        <f t="shared" si="8"/>
        <v>0</v>
      </c>
      <c r="AB64">
        <v>4.33</v>
      </c>
      <c r="AC64" s="321">
        <f t="shared" ref="AC64:AC81" si="33">+AA64/AB64</f>
        <v>0</v>
      </c>
      <c r="AF64" s="321"/>
    </row>
    <row r="65" spans="1:32">
      <c r="B65" t="s">
        <v>766</v>
      </c>
      <c r="C65" s="321">
        <v>0</v>
      </c>
      <c r="D65" s="321">
        <v>0</v>
      </c>
      <c r="E65" s="321">
        <v>0</v>
      </c>
      <c r="F65" s="321">
        <v>0</v>
      </c>
      <c r="G65" s="321">
        <v>0</v>
      </c>
      <c r="H65" s="321">
        <v>0</v>
      </c>
      <c r="I65" s="321">
        <v>0</v>
      </c>
      <c r="J65" s="321">
        <v>0</v>
      </c>
      <c r="K65" s="321">
        <v>0</v>
      </c>
      <c r="L65" s="321">
        <v>0</v>
      </c>
      <c r="M65" s="321">
        <v>0</v>
      </c>
      <c r="N65" s="321">
        <v>0</v>
      </c>
      <c r="O65" s="321">
        <f t="shared" si="0"/>
        <v>0</v>
      </c>
      <c r="P65">
        <v>4.33</v>
      </c>
      <c r="Q65" s="321">
        <f t="shared" si="31"/>
        <v>0</v>
      </c>
      <c r="T65" s="321"/>
      <c r="U65" s="321">
        <f t="shared" si="7"/>
        <v>0</v>
      </c>
      <c r="V65">
        <v>4.33</v>
      </c>
      <c r="W65" s="321">
        <f t="shared" si="32"/>
        <v>0</v>
      </c>
      <c r="Z65" s="321"/>
      <c r="AA65" s="321">
        <f t="shared" si="8"/>
        <v>0</v>
      </c>
      <c r="AB65">
        <v>4.33</v>
      </c>
      <c r="AC65" s="321">
        <f t="shared" si="33"/>
        <v>0</v>
      </c>
      <c r="AF65" s="321"/>
    </row>
    <row r="66" spans="1:32">
      <c r="B66" t="s">
        <v>765</v>
      </c>
      <c r="C66" s="321">
        <v>0</v>
      </c>
      <c r="D66" s="321">
        <v>0</v>
      </c>
      <c r="E66" s="321">
        <v>0</v>
      </c>
      <c r="F66" s="321">
        <v>0</v>
      </c>
      <c r="G66" s="321">
        <v>0</v>
      </c>
      <c r="H66" s="321">
        <v>0</v>
      </c>
      <c r="I66" s="321">
        <v>0</v>
      </c>
      <c r="J66" s="321">
        <v>0</v>
      </c>
      <c r="K66" s="321">
        <v>106</v>
      </c>
      <c r="L66" s="321">
        <v>0</v>
      </c>
      <c r="M66" s="321">
        <v>0</v>
      </c>
      <c r="N66" s="321">
        <v>0</v>
      </c>
      <c r="O66" s="321">
        <f t="shared" si="0"/>
        <v>106</v>
      </c>
      <c r="P66">
        <v>4.33</v>
      </c>
      <c r="Q66" s="321">
        <f t="shared" si="31"/>
        <v>24.480369515011546</v>
      </c>
      <c r="T66" s="321"/>
      <c r="U66" s="321">
        <f t="shared" si="7"/>
        <v>106</v>
      </c>
      <c r="V66">
        <v>4.33</v>
      </c>
      <c r="W66" s="321">
        <f t="shared" si="32"/>
        <v>24.480369515011546</v>
      </c>
      <c r="Z66" s="321"/>
      <c r="AA66" s="321">
        <f t="shared" si="8"/>
        <v>0</v>
      </c>
      <c r="AB66">
        <v>4.33</v>
      </c>
      <c r="AC66" s="321">
        <f t="shared" si="33"/>
        <v>0</v>
      </c>
      <c r="AF66" s="321"/>
    </row>
    <row r="67" spans="1:32">
      <c r="A67" t="s">
        <v>827</v>
      </c>
      <c r="B67" t="s">
        <v>767</v>
      </c>
      <c r="C67" s="321">
        <v>0</v>
      </c>
      <c r="D67" s="321">
        <v>0</v>
      </c>
      <c r="E67" s="321">
        <v>0</v>
      </c>
      <c r="F67" s="321">
        <v>0</v>
      </c>
      <c r="G67" s="321">
        <v>0</v>
      </c>
      <c r="H67" s="321">
        <v>0</v>
      </c>
      <c r="I67" s="321">
        <v>0</v>
      </c>
      <c r="J67" s="321">
        <v>0</v>
      </c>
      <c r="K67" s="321">
        <v>0</v>
      </c>
      <c r="L67" s="321">
        <v>0</v>
      </c>
      <c r="M67" s="321">
        <v>0</v>
      </c>
      <c r="N67" s="321">
        <v>0</v>
      </c>
      <c r="O67" s="321">
        <f t="shared" si="0"/>
        <v>0</v>
      </c>
      <c r="P67">
        <v>4.33</v>
      </c>
      <c r="Q67" s="321">
        <f t="shared" si="31"/>
        <v>0</v>
      </c>
      <c r="T67" s="321"/>
      <c r="U67" s="321">
        <f t="shared" si="7"/>
        <v>0</v>
      </c>
      <c r="V67">
        <v>4.33</v>
      </c>
      <c r="W67" s="321">
        <f t="shared" si="32"/>
        <v>0</v>
      </c>
      <c r="Z67" s="321"/>
      <c r="AA67" s="321">
        <f t="shared" si="8"/>
        <v>0</v>
      </c>
      <c r="AB67">
        <v>4.33</v>
      </c>
      <c r="AC67" s="321">
        <f t="shared" si="33"/>
        <v>0</v>
      </c>
      <c r="AF67" s="321"/>
    </row>
    <row r="68" spans="1:32">
      <c r="B68" t="s">
        <v>766</v>
      </c>
      <c r="C68" s="321">
        <v>0</v>
      </c>
      <c r="D68" s="321">
        <v>0</v>
      </c>
      <c r="E68" s="321">
        <v>0</v>
      </c>
      <c r="F68" s="321">
        <v>0</v>
      </c>
      <c r="G68" s="321">
        <v>0</v>
      </c>
      <c r="H68" s="321">
        <v>0</v>
      </c>
      <c r="I68" s="321">
        <v>0</v>
      </c>
      <c r="J68" s="321">
        <v>0</v>
      </c>
      <c r="K68" s="321">
        <v>0</v>
      </c>
      <c r="L68" s="321">
        <v>0</v>
      </c>
      <c r="M68" s="321">
        <v>0</v>
      </c>
      <c r="N68" s="321">
        <v>0</v>
      </c>
      <c r="O68" s="321">
        <f t="shared" si="0"/>
        <v>0</v>
      </c>
      <c r="P68">
        <v>4.33</v>
      </c>
      <c r="Q68" s="321">
        <f t="shared" si="31"/>
        <v>0</v>
      </c>
      <c r="T68" s="321"/>
      <c r="U68" s="321">
        <f t="shared" si="7"/>
        <v>0</v>
      </c>
      <c r="V68">
        <v>4.33</v>
      </c>
      <c r="W68" s="321">
        <f t="shared" si="32"/>
        <v>0</v>
      </c>
      <c r="Z68" s="321"/>
      <c r="AA68" s="321">
        <f t="shared" si="8"/>
        <v>0</v>
      </c>
      <c r="AB68">
        <v>4.33</v>
      </c>
      <c r="AC68" s="321">
        <f t="shared" si="33"/>
        <v>0</v>
      </c>
      <c r="AF68" s="321"/>
    </row>
    <row r="69" spans="1:32">
      <c r="B69" t="s">
        <v>765</v>
      </c>
      <c r="C69" s="321">
        <v>0</v>
      </c>
      <c r="D69" s="321">
        <v>0</v>
      </c>
      <c r="E69" s="321">
        <v>0</v>
      </c>
      <c r="F69" s="321">
        <v>0</v>
      </c>
      <c r="G69" s="321">
        <v>0</v>
      </c>
      <c r="H69" s="321">
        <v>0</v>
      </c>
      <c r="I69" s="321">
        <v>0</v>
      </c>
      <c r="J69" s="321">
        <v>0</v>
      </c>
      <c r="K69" s="321">
        <v>106</v>
      </c>
      <c r="L69" s="321">
        <v>0</v>
      </c>
      <c r="M69" s="321">
        <v>0</v>
      </c>
      <c r="N69" s="321">
        <v>0</v>
      </c>
      <c r="O69" s="321">
        <f t="shared" si="0"/>
        <v>106</v>
      </c>
      <c r="P69">
        <v>4.33</v>
      </c>
      <c r="Q69" s="321">
        <f t="shared" si="31"/>
        <v>24.480369515011546</v>
      </c>
      <c r="T69" s="321"/>
      <c r="U69" s="321">
        <f t="shared" si="7"/>
        <v>106</v>
      </c>
      <c r="V69">
        <v>4.33</v>
      </c>
      <c r="W69" s="321">
        <f t="shared" si="32"/>
        <v>24.480369515011546</v>
      </c>
      <c r="Z69" s="321"/>
      <c r="AA69" s="321">
        <f t="shared" si="8"/>
        <v>0</v>
      </c>
      <c r="AB69">
        <v>4.33</v>
      </c>
      <c r="AC69" s="321">
        <f t="shared" si="33"/>
        <v>0</v>
      </c>
      <c r="AF69" s="321"/>
    </row>
    <row r="70" spans="1:32">
      <c r="A70" t="s">
        <v>826</v>
      </c>
      <c r="B70" t="s">
        <v>767</v>
      </c>
      <c r="C70" s="321">
        <v>0</v>
      </c>
      <c r="D70" s="321">
        <v>0</v>
      </c>
      <c r="E70" s="321">
        <v>0</v>
      </c>
      <c r="F70" s="321">
        <v>0</v>
      </c>
      <c r="G70" s="321">
        <v>0</v>
      </c>
      <c r="H70" s="321">
        <v>0</v>
      </c>
      <c r="I70" s="321">
        <v>0</v>
      </c>
      <c r="J70" s="321">
        <v>0</v>
      </c>
      <c r="K70" s="321">
        <v>0</v>
      </c>
      <c r="L70" s="321">
        <v>0</v>
      </c>
      <c r="M70" s="321">
        <v>0</v>
      </c>
      <c r="N70" s="321">
        <v>0</v>
      </c>
      <c r="O70" s="321">
        <f t="shared" si="0"/>
        <v>0</v>
      </c>
      <c r="P70">
        <v>4.33</v>
      </c>
      <c r="Q70" s="321">
        <f t="shared" si="31"/>
        <v>0</v>
      </c>
      <c r="T70" s="321"/>
      <c r="U70" s="321">
        <f t="shared" si="7"/>
        <v>0</v>
      </c>
      <c r="V70">
        <v>4.33</v>
      </c>
      <c r="W70" s="321">
        <f t="shared" si="32"/>
        <v>0</v>
      </c>
      <c r="Z70" s="321"/>
      <c r="AA70" s="321">
        <f t="shared" si="8"/>
        <v>0</v>
      </c>
      <c r="AB70">
        <v>4.33</v>
      </c>
      <c r="AC70" s="321">
        <f t="shared" si="33"/>
        <v>0</v>
      </c>
      <c r="AF70" s="321"/>
    </row>
    <row r="71" spans="1:32">
      <c r="B71" t="s">
        <v>766</v>
      </c>
      <c r="C71" s="321">
        <v>0</v>
      </c>
      <c r="D71" s="321">
        <v>0</v>
      </c>
      <c r="E71" s="321">
        <v>0</v>
      </c>
      <c r="F71" s="321">
        <v>0</v>
      </c>
      <c r="G71" s="321">
        <v>0</v>
      </c>
      <c r="H71" s="321">
        <v>0</v>
      </c>
      <c r="I71" s="321">
        <v>0</v>
      </c>
      <c r="J71" s="321">
        <v>0</v>
      </c>
      <c r="K71" s="321">
        <v>0</v>
      </c>
      <c r="L71" s="321">
        <v>0</v>
      </c>
      <c r="M71" s="321">
        <v>0</v>
      </c>
      <c r="N71" s="321">
        <v>0</v>
      </c>
      <c r="O71" s="321">
        <f t="shared" si="0"/>
        <v>0</v>
      </c>
      <c r="P71">
        <v>4.33</v>
      </c>
      <c r="Q71" s="321">
        <f t="shared" si="31"/>
        <v>0</v>
      </c>
      <c r="T71" s="321"/>
      <c r="U71" s="321">
        <f t="shared" si="7"/>
        <v>0</v>
      </c>
      <c r="V71">
        <v>4.33</v>
      </c>
      <c r="W71" s="321">
        <f t="shared" si="32"/>
        <v>0</v>
      </c>
      <c r="Z71" s="321"/>
      <c r="AA71" s="321">
        <f t="shared" si="8"/>
        <v>0</v>
      </c>
      <c r="AB71">
        <v>4.33</v>
      </c>
      <c r="AC71" s="321">
        <f t="shared" si="33"/>
        <v>0</v>
      </c>
      <c r="AF71" s="321"/>
    </row>
    <row r="72" spans="1:32">
      <c r="B72" t="s">
        <v>765</v>
      </c>
      <c r="C72" s="321">
        <v>0</v>
      </c>
      <c r="D72" s="321">
        <v>0</v>
      </c>
      <c r="E72" s="321">
        <v>0</v>
      </c>
      <c r="F72" s="321">
        <v>0</v>
      </c>
      <c r="G72" s="321">
        <v>0</v>
      </c>
      <c r="H72" s="321">
        <v>0</v>
      </c>
      <c r="I72" s="321">
        <v>0</v>
      </c>
      <c r="J72" s="321">
        <v>0</v>
      </c>
      <c r="K72" s="321">
        <v>26</v>
      </c>
      <c r="L72" s="321">
        <v>0</v>
      </c>
      <c r="M72" s="321">
        <v>0</v>
      </c>
      <c r="N72" s="321">
        <v>0</v>
      </c>
      <c r="O72" s="321">
        <f t="shared" si="0"/>
        <v>26</v>
      </c>
      <c r="P72">
        <v>4.33</v>
      </c>
      <c r="Q72" s="321">
        <f t="shared" si="31"/>
        <v>6.0046189376443415</v>
      </c>
      <c r="T72" s="321"/>
      <c r="U72" s="321">
        <f t="shared" si="7"/>
        <v>26</v>
      </c>
      <c r="V72">
        <v>4.33</v>
      </c>
      <c r="W72" s="321">
        <f t="shared" si="32"/>
        <v>6.0046189376443415</v>
      </c>
      <c r="Z72" s="321"/>
      <c r="AA72" s="321">
        <f t="shared" ref="AA72:AA135" si="34">+N72</f>
        <v>0</v>
      </c>
      <c r="AB72">
        <v>4.33</v>
      </c>
      <c r="AC72" s="321">
        <f t="shared" si="33"/>
        <v>0</v>
      </c>
      <c r="AF72" s="321"/>
    </row>
    <row r="73" spans="1:32">
      <c r="A73" t="s">
        <v>825</v>
      </c>
      <c r="B73" t="s">
        <v>767</v>
      </c>
      <c r="C73" s="321">
        <v>0</v>
      </c>
      <c r="D73" s="321">
        <v>0</v>
      </c>
      <c r="E73" s="321">
        <v>0</v>
      </c>
      <c r="F73" s="321">
        <v>0</v>
      </c>
      <c r="G73" s="321">
        <v>0</v>
      </c>
      <c r="H73" s="321">
        <v>0</v>
      </c>
      <c r="I73" s="321">
        <v>0</v>
      </c>
      <c r="J73" s="321">
        <v>0</v>
      </c>
      <c r="K73" s="321">
        <v>0</v>
      </c>
      <c r="L73" s="321">
        <v>0</v>
      </c>
      <c r="M73" s="321">
        <v>0</v>
      </c>
      <c r="N73" s="321">
        <v>0</v>
      </c>
      <c r="O73" s="321">
        <f t="shared" si="0"/>
        <v>0</v>
      </c>
      <c r="P73">
        <v>4.33</v>
      </c>
      <c r="Q73" s="321">
        <f t="shared" si="31"/>
        <v>0</v>
      </c>
      <c r="T73" s="321"/>
      <c r="U73" s="321">
        <f t="shared" si="7"/>
        <v>0</v>
      </c>
      <c r="V73">
        <v>4.33</v>
      </c>
      <c r="W73" s="321">
        <f t="shared" si="32"/>
        <v>0</v>
      </c>
      <c r="Z73" s="321"/>
      <c r="AA73" s="321">
        <f t="shared" si="34"/>
        <v>0</v>
      </c>
      <c r="AB73">
        <v>4.33</v>
      </c>
      <c r="AC73" s="321">
        <f t="shared" si="33"/>
        <v>0</v>
      </c>
      <c r="AF73" s="321"/>
    </row>
    <row r="74" spans="1:32">
      <c r="B74" t="s">
        <v>766</v>
      </c>
      <c r="C74" s="321">
        <v>0</v>
      </c>
      <c r="D74" s="321">
        <v>0</v>
      </c>
      <c r="E74" s="321">
        <v>0</v>
      </c>
      <c r="F74" s="321">
        <v>0</v>
      </c>
      <c r="G74" s="321">
        <v>0</v>
      </c>
      <c r="H74" s="321">
        <v>0</v>
      </c>
      <c r="I74" s="321">
        <v>0</v>
      </c>
      <c r="J74" s="321">
        <v>0</v>
      </c>
      <c r="K74" s="321">
        <v>0</v>
      </c>
      <c r="L74" s="321">
        <v>0</v>
      </c>
      <c r="M74" s="321">
        <v>0</v>
      </c>
      <c r="N74" s="321">
        <v>0</v>
      </c>
      <c r="O74" s="321">
        <f t="shared" ref="O74:O137" si="35">SUM(C74:N74)</f>
        <v>0</v>
      </c>
      <c r="P74">
        <v>4.33</v>
      </c>
      <c r="Q74" s="321">
        <f t="shared" si="31"/>
        <v>0</v>
      </c>
      <c r="T74" s="321"/>
      <c r="U74" s="321">
        <f t="shared" si="7"/>
        <v>0</v>
      </c>
      <c r="V74">
        <v>4.33</v>
      </c>
      <c r="W74" s="321">
        <f t="shared" si="32"/>
        <v>0</v>
      </c>
      <c r="Z74" s="321"/>
      <c r="AA74" s="321">
        <f t="shared" si="34"/>
        <v>0</v>
      </c>
      <c r="AB74">
        <v>4.33</v>
      </c>
      <c r="AC74" s="321">
        <f t="shared" si="33"/>
        <v>0</v>
      </c>
      <c r="AF74" s="321"/>
    </row>
    <row r="75" spans="1:32">
      <c r="B75" t="s">
        <v>765</v>
      </c>
      <c r="C75" s="321">
        <v>0</v>
      </c>
      <c r="D75" s="321">
        <v>0</v>
      </c>
      <c r="E75" s="321">
        <v>0</v>
      </c>
      <c r="F75" s="321">
        <v>0</v>
      </c>
      <c r="G75" s="321">
        <v>0</v>
      </c>
      <c r="H75" s="321">
        <v>0</v>
      </c>
      <c r="I75" s="321">
        <v>0</v>
      </c>
      <c r="J75" s="321">
        <v>0</v>
      </c>
      <c r="K75" s="321">
        <v>52</v>
      </c>
      <c r="L75" s="321">
        <v>0</v>
      </c>
      <c r="M75" s="321">
        <v>0</v>
      </c>
      <c r="N75" s="321">
        <v>0</v>
      </c>
      <c r="O75" s="321">
        <f t="shared" si="35"/>
        <v>52</v>
      </c>
      <c r="P75">
        <v>4.33</v>
      </c>
      <c r="Q75" s="321">
        <f t="shared" si="31"/>
        <v>12.009237875288683</v>
      </c>
      <c r="T75" s="321"/>
      <c r="U75" s="321">
        <f t="shared" ref="U75:U138" si="36">+K75</f>
        <v>52</v>
      </c>
      <c r="V75">
        <v>4.33</v>
      </c>
      <c r="W75" s="321">
        <f t="shared" si="32"/>
        <v>12.009237875288683</v>
      </c>
      <c r="Z75" s="321"/>
      <c r="AA75" s="321">
        <f t="shared" si="34"/>
        <v>0</v>
      </c>
      <c r="AB75">
        <v>4.33</v>
      </c>
      <c r="AC75" s="321">
        <f t="shared" si="33"/>
        <v>0</v>
      </c>
      <c r="AF75" s="321"/>
    </row>
    <row r="76" spans="1:32">
      <c r="A76" t="s">
        <v>824</v>
      </c>
      <c r="B76" t="s">
        <v>767</v>
      </c>
      <c r="C76" s="321">
        <v>0</v>
      </c>
      <c r="D76" s="321">
        <v>0</v>
      </c>
      <c r="E76" s="321">
        <v>0</v>
      </c>
      <c r="F76" s="321">
        <v>0</v>
      </c>
      <c r="G76" s="321">
        <v>0</v>
      </c>
      <c r="H76" s="321">
        <v>0</v>
      </c>
      <c r="I76" s="321">
        <v>0</v>
      </c>
      <c r="J76" s="321">
        <v>0</v>
      </c>
      <c r="K76" s="321">
        <v>0</v>
      </c>
      <c r="L76" s="321">
        <v>0</v>
      </c>
      <c r="M76" s="321">
        <v>0</v>
      </c>
      <c r="N76" s="321">
        <v>0</v>
      </c>
      <c r="O76" s="321">
        <f t="shared" si="35"/>
        <v>0</v>
      </c>
      <c r="P76">
        <v>4.33</v>
      </c>
      <c r="Q76" s="321">
        <f t="shared" si="31"/>
        <v>0</v>
      </c>
      <c r="T76" s="321"/>
      <c r="U76" s="321">
        <f t="shared" si="36"/>
        <v>0</v>
      </c>
      <c r="V76">
        <v>4.33</v>
      </c>
      <c r="W76" s="321">
        <f t="shared" si="32"/>
        <v>0</v>
      </c>
      <c r="Z76" s="321"/>
      <c r="AA76" s="321">
        <f t="shared" si="34"/>
        <v>0</v>
      </c>
      <c r="AB76">
        <v>4.33</v>
      </c>
      <c r="AC76" s="321">
        <f t="shared" si="33"/>
        <v>0</v>
      </c>
      <c r="AF76" s="321"/>
    </row>
    <row r="77" spans="1:32">
      <c r="B77" t="s">
        <v>766</v>
      </c>
      <c r="C77" s="321">
        <v>0</v>
      </c>
      <c r="D77" s="321">
        <v>0</v>
      </c>
      <c r="E77" s="321">
        <v>0</v>
      </c>
      <c r="F77" s="321">
        <v>0</v>
      </c>
      <c r="G77" s="321">
        <v>0</v>
      </c>
      <c r="H77" s="321">
        <v>0</v>
      </c>
      <c r="I77" s="321">
        <v>0</v>
      </c>
      <c r="J77" s="321">
        <v>0</v>
      </c>
      <c r="K77" s="321">
        <v>0</v>
      </c>
      <c r="L77" s="321">
        <v>0</v>
      </c>
      <c r="M77" s="321">
        <v>0</v>
      </c>
      <c r="N77" s="321">
        <v>0</v>
      </c>
      <c r="O77" s="321">
        <f t="shared" si="35"/>
        <v>0</v>
      </c>
      <c r="P77">
        <v>4.33</v>
      </c>
      <c r="Q77" s="321">
        <f t="shared" si="31"/>
        <v>0</v>
      </c>
      <c r="T77" s="321"/>
      <c r="U77" s="321">
        <f t="shared" si="36"/>
        <v>0</v>
      </c>
      <c r="V77">
        <v>4.33</v>
      </c>
      <c r="W77" s="321">
        <f t="shared" si="32"/>
        <v>0</v>
      </c>
      <c r="Z77" s="321"/>
      <c r="AA77" s="321">
        <f t="shared" si="34"/>
        <v>0</v>
      </c>
      <c r="AB77">
        <v>4.33</v>
      </c>
      <c r="AC77" s="321">
        <f t="shared" si="33"/>
        <v>0</v>
      </c>
      <c r="AF77" s="321"/>
    </row>
    <row r="78" spans="1:32">
      <c r="B78" t="s">
        <v>765</v>
      </c>
      <c r="C78" s="321">
        <v>0</v>
      </c>
      <c r="D78" s="321">
        <v>0</v>
      </c>
      <c r="E78" s="321">
        <v>0</v>
      </c>
      <c r="F78" s="321">
        <v>0</v>
      </c>
      <c r="G78" s="321">
        <v>0</v>
      </c>
      <c r="H78" s="321">
        <v>0</v>
      </c>
      <c r="I78" s="321">
        <v>0</v>
      </c>
      <c r="J78" s="321">
        <v>0</v>
      </c>
      <c r="K78" s="321">
        <v>52</v>
      </c>
      <c r="L78" s="321">
        <v>0</v>
      </c>
      <c r="M78" s="321">
        <v>0</v>
      </c>
      <c r="N78" s="321">
        <v>0</v>
      </c>
      <c r="O78" s="321">
        <f t="shared" si="35"/>
        <v>52</v>
      </c>
      <c r="P78">
        <v>4.33</v>
      </c>
      <c r="Q78" s="321">
        <f t="shared" si="31"/>
        <v>12.009237875288683</v>
      </c>
      <c r="T78" s="321"/>
      <c r="U78" s="321">
        <f t="shared" si="36"/>
        <v>52</v>
      </c>
      <c r="V78">
        <v>4.33</v>
      </c>
      <c r="W78" s="321">
        <f t="shared" si="32"/>
        <v>12.009237875288683</v>
      </c>
      <c r="Z78" s="321"/>
      <c r="AA78" s="321">
        <f t="shared" si="34"/>
        <v>0</v>
      </c>
      <c r="AB78">
        <v>4.33</v>
      </c>
      <c r="AC78" s="321">
        <f t="shared" si="33"/>
        <v>0</v>
      </c>
      <c r="AF78" s="321"/>
    </row>
    <row r="79" spans="1:32">
      <c r="A79" t="s">
        <v>823</v>
      </c>
      <c r="B79" t="s">
        <v>767</v>
      </c>
      <c r="C79" s="321">
        <v>0</v>
      </c>
      <c r="D79" s="321">
        <v>0</v>
      </c>
      <c r="E79" s="321">
        <v>0</v>
      </c>
      <c r="F79" s="321">
        <v>0</v>
      </c>
      <c r="G79" s="321">
        <v>0</v>
      </c>
      <c r="H79" s="321">
        <v>0</v>
      </c>
      <c r="I79" s="321">
        <v>0</v>
      </c>
      <c r="J79" s="321">
        <v>0</v>
      </c>
      <c r="K79" s="321">
        <v>0</v>
      </c>
      <c r="L79" s="321">
        <v>0</v>
      </c>
      <c r="M79" s="321">
        <v>0</v>
      </c>
      <c r="N79" s="321">
        <v>0</v>
      </c>
      <c r="O79" s="321">
        <f t="shared" si="35"/>
        <v>0</v>
      </c>
      <c r="P79">
        <v>4.33</v>
      </c>
      <c r="Q79" s="321">
        <f t="shared" si="31"/>
        <v>0</v>
      </c>
      <c r="T79" s="321"/>
      <c r="U79" s="321">
        <f t="shared" si="36"/>
        <v>0</v>
      </c>
      <c r="V79">
        <v>4.33</v>
      </c>
      <c r="W79" s="321">
        <f t="shared" si="32"/>
        <v>0</v>
      </c>
      <c r="Z79" s="321"/>
      <c r="AA79" s="321">
        <f t="shared" si="34"/>
        <v>0</v>
      </c>
      <c r="AB79">
        <v>4.33</v>
      </c>
      <c r="AC79" s="321">
        <f t="shared" si="33"/>
        <v>0</v>
      </c>
      <c r="AF79" s="321"/>
    </row>
    <row r="80" spans="1:32">
      <c r="B80" t="s">
        <v>766</v>
      </c>
      <c r="C80" s="321">
        <v>0</v>
      </c>
      <c r="D80" s="321">
        <v>0</v>
      </c>
      <c r="E80" s="321">
        <v>0</v>
      </c>
      <c r="F80" s="321">
        <v>0</v>
      </c>
      <c r="G80" s="321">
        <v>0</v>
      </c>
      <c r="H80" s="321">
        <v>0</v>
      </c>
      <c r="I80" s="321">
        <v>0</v>
      </c>
      <c r="J80" s="321">
        <v>0</v>
      </c>
      <c r="K80" s="321">
        <v>0</v>
      </c>
      <c r="L80" s="321">
        <v>0</v>
      </c>
      <c r="M80" s="321">
        <v>0</v>
      </c>
      <c r="N80" s="321">
        <v>0</v>
      </c>
      <c r="O80" s="321">
        <f t="shared" si="35"/>
        <v>0</v>
      </c>
      <c r="P80">
        <v>4.33</v>
      </c>
      <c r="Q80" s="321">
        <f t="shared" si="31"/>
        <v>0</v>
      </c>
      <c r="T80" s="321"/>
      <c r="U80" s="321">
        <f t="shared" si="36"/>
        <v>0</v>
      </c>
      <c r="V80">
        <v>4.33</v>
      </c>
      <c r="W80" s="321">
        <f t="shared" si="32"/>
        <v>0</v>
      </c>
      <c r="Z80" s="321"/>
      <c r="AA80" s="321">
        <f t="shared" si="34"/>
        <v>0</v>
      </c>
      <c r="AB80">
        <v>4.33</v>
      </c>
      <c r="AC80" s="321">
        <f t="shared" si="33"/>
        <v>0</v>
      </c>
      <c r="AF80" s="321"/>
    </row>
    <row r="81" spans="1:32">
      <c r="B81" t="s">
        <v>765</v>
      </c>
      <c r="C81" s="321">
        <v>0</v>
      </c>
      <c r="D81" s="321">
        <v>0</v>
      </c>
      <c r="E81" s="321">
        <v>0</v>
      </c>
      <c r="F81" s="321">
        <v>0</v>
      </c>
      <c r="G81" s="321">
        <v>0</v>
      </c>
      <c r="H81" s="321">
        <v>0</v>
      </c>
      <c r="I81" s="321">
        <v>0</v>
      </c>
      <c r="J81" s="321">
        <v>0</v>
      </c>
      <c r="K81" s="321">
        <v>0</v>
      </c>
      <c r="L81" s="321">
        <v>0</v>
      </c>
      <c r="M81" s="321">
        <v>0</v>
      </c>
      <c r="N81" s="321">
        <v>0</v>
      </c>
      <c r="O81" s="321">
        <f t="shared" si="35"/>
        <v>0</v>
      </c>
      <c r="P81">
        <v>4.33</v>
      </c>
      <c r="Q81" s="321">
        <f t="shared" si="31"/>
        <v>0</v>
      </c>
      <c r="T81" s="321"/>
      <c r="U81" s="321">
        <f t="shared" si="36"/>
        <v>0</v>
      </c>
      <c r="V81">
        <v>4.33</v>
      </c>
      <c r="W81" s="321">
        <f t="shared" si="32"/>
        <v>0</v>
      </c>
      <c r="Z81" s="321"/>
      <c r="AA81" s="321">
        <f t="shared" si="34"/>
        <v>0</v>
      </c>
      <c r="AB81">
        <v>4.33</v>
      </c>
      <c r="AC81" s="321">
        <f t="shared" si="33"/>
        <v>0</v>
      </c>
      <c r="AF81" s="321"/>
    </row>
    <row r="82" spans="1:32">
      <c r="A82" t="s">
        <v>822</v>
      </c>
      <c r="B82" t="s">
        <v>767</v>
      </c>
      <c r="C82" s="321">
        <v>0</v>
      </c>
      <c r="D82" s="321">
        <v>0</v>
      </c>
      <c r="E82" s="321">
        <v>0</v>
      </c>
      <c r="F82" s="321">
        <v>0</v>
      </c>
      <c r="G82" s="321">
        <v>0</v>
      </c>
      <c r="H82" s="321">
        <v>0</v>
      </c>
      <c r="I82" s="321">
        <v>0</v>
      </c>
      <c r="J82" s="321">
        <v>0</v>
      </c>
      <c r="K82" s="321">
        <v>1802</v>
      </c>
      <c r="L82" s="321">
        <v>0</v>
      </c>
      <c r="M82" s="321">
        <v>0</v>
      </c>
      <c r="N82" s="321">
        <v>0</v>
      </c>
      <c r="O82" s="321">
        <f t="shared" si="35"/>
        <v>1802</v>
      </c>
      <c r="R82" s="321">
        <f>+O82+Q82</f>
        <v>1802</v>
      </c>
      <c r="T82" s="321"/>
      <c r="U82" s="321">
        <f t="shared" si="36"/>
        <v>1802</v>
      </c>
      <c r="X82" s="321">
        <f>+U82+W82</f>
        <v>1802</v>
      </c>
      <c r="Z82" s="321"/>
      <c r="AA82" s="321">
        <f t="shared" si="34"/>
        <v>0</v>
      </c>
      <c r="AD82" s="321">
        <f>+AA82+AC82</f>
        <v>0</v>
      </c>
      <c r="AF82" s="321"/>
    </row>
    <row r="83" spans="1:32">
      <c r="B83" t="s">
        <v>766</v>
      </c>
      <c r="C83" s="321">
        <v>0</v>
      </c>
      <c r="D83" s="321">
        <v>0</v>
      </c>
      <c r="E83" s="321">
        <v>0</v>
      </c>
      <c r="F83" s="321">
        <v>0</v>
      </c>
      <c r="G83" s="321">
        <v>0</v>
      </c>
      <c r="H83" s="321">
        <v>0</v>
      </c>
      <c r="I83" s="321">
        <v>0</v>
      </c>
      <c r="J83" s="321">
        <v>0</v>
      </c>
      <c r="K83" s="321">
        <v>159</v>
      </c>
      <c r="L83" s="321">
        <v>0</v>
      </c>
      <c r="M83" s="321">
        <v>0</v>
      </c>
      <c r="N83" s="321">
        <v>0</v>
      </c>
      <c r="O83" s="321">
        <f t="shared" si="35"/>
        <v>159</v>
      </c>
      <c r="R83" s="321">
        <f>+O83+Q83</f>
        <v>159</v>
      </c>
      <c r="T83" s="321"/>
      <c r="U83" s="321">
        <f t="shared" si="36"/>
        <v>159</v>
      </c>
      <c r="X83" s="321">
        <f>+U83+W83</f>
        <v>159</v>
      </c>
      <c r="Z83" s="321"/>
      <c r="AA83" s="321">
        <f t="shared" si="34"/>
        <v>0</v>
      </c>
      <c r="AD83" s="321">
        <f>+AA83+AC83</f>
        <v>0</v>
      </c>
      <c r="AF83" s="321"/>
    </row>
    <row r="84" spans="1:32">
      <c r="B84" t="s">
        <v>765</v>
      </c>
      <c r="C84" s="321">
        <v>0</v>
      </c>
      <c r="D84" s="321">
        <v>0</v>
      </c>
      <c r="E84" s="321">
        <v>0</v>
      </c>
      <c r="F84" s="321">
        <v>0</v>
      </c>
      <c r="G84" s="321">
        <v>0</v>
      </c>
      <c r="H84" s="321">
        <v>0</v>
      </c>
      <c r="I84" s="321">
        <v>0</v>
      </c>
      <c r="J84" s="321">
        <v>0</v>
      </c>
      <c r="K84" s="321">
        <v>217</v>
      </c>
      <c r="L84" s="321">
        <v>0</v>
      </c>
      <c r="M84" s="321">
        <v>0</v>
      </c>
      <c r="N84" s="321">
        <v>0</v>
      </c>
      <c r="O84" s="321">
        <f t="shared" si="35"/>
        <v>217</v>
      </c>
      <c r="R84" s="321">
        <f>+O84+Q84</f>
        <v>217</v>
      </c>
      <c r="T84" s="321"/>
      <c r="U84" s="321">
        <f t="shared" si="36"/>
        <v>217</v>
      </c>
      <c r="X84" s="321">
        <f>+U84+W84</f>
        <v>217</v>
      </c>
      <c r="Z84" s="321"/>
      <c r="AA84" s="321">
        <f t="shared" si="34"/>
        <v>0</v>
      </c>
      <c r="AD84" s="321">
        <f>+AA84+AC84</f>
        <v>0</v>
      </c>
      <c r="AF84" s="321"/>
    </row>
    <row r="85" spans="1:32">
      <c r="A85" t="s">
        <v>821</v>
      </c>
      <c r="B85" t="s">
        <v>767</v>
      </c>
      <c r="C85" s="321">
        <v>0</v>
      </c>
      <c r="D85" s="321">
        <v>0</v>
      </c>
      <c r="E85" s="321">
        <v>0</v>
      </c>
      <c r="F85" s="321">
        <v>0</v>
      </c>
      <c r="G85" s="321">
        <v>0</v>
      </c>
      <c r="H85" s="321">
        <v>0</v>
      </c>
      <c r="I85" s="321">
        <v>0</v>
      </c>
      <c r="J85" s="321">
        <v>0</v>
      </c>
      <c r="K85" s="321">
        <v>0</v>
      </c>
      <c r="L85" s="321">
        <v>0</v>
      </c>
      <c r="M85" s="321">
        <v>0</v>
      </c>
      <c r="N85" s="321">
        <v>0</v>
      </c>
      <c r="O85" s="321">
        <f t="shared" si="35"/>
        <v>0</v>
      </c>
      <c r="P85" s="321">
        <f t="shared" ref="P85:P96" si="37">+O85</f>
        <v>0</v>
      </c>
      <c r="Q85" s="84">
        <f>+O85*3</f>
        <v>0</v>
      </c>
      <c r="T85" s="321"/>
      <c r="U85" s="321">
        <f t="shared" si="36"/>
        <v>0</v>
      </c>
      <c r="V85" s="321">
        <f t="shared" ref="V85:V96" si="38">+U85</f>
        <v>0</v>
      </c>
      <c r="W85" s="84">
        <f>+U85*3</f>
        <v>0</v>
      </c>
      <c r="Z85" s="321"/>
      <c r="AA85" s="321">
        <f t="shared" si="34"/>
        <v>0</v>
      </c>
      <c r="AB85" s="321">
        <f t="shared" ref="AB85:AB96" si="39">+AA85</f>
        <v>0</v>
      </c>
      <c r="AC85" s="84">
        <f>+AA85*3</f>
        <v>0</v>
      </c>
      <c r="AF85" s="321"/>
    </row>
    <row r="86" spans="1:32">
      <c r="B86" t="s">
        <v>766</v>
      </c>
      <c r="C86" s="321">
        <v>0</v>
      </c>
      <c r="D86" s="321">
        <v>0</v>
      </c>
      <c r="E86" s="321">
        <v>0</v>
      </c>
      <c r="F86" s="321">
        <v>0</v>
      </c>
      <c r="G86" s="321">
        <v>0</v>
      </c>
      <c r="H86" s="321">
        <v>0</v>
      </c>
      <c r="I86" s="321">
        <v>0</v>
      </c>
      <c r="J86" s="321">
        <v>0</v>
      </c>
      <c r="K86" s="321">
        <v>0</v>
      </c>
      <c r="L86" s="321">
        <v>0</v>
      </c>
      <c r="M86" s="321">
        <v>0</v>
      </c>
      <c r="N86" s="321">
        <v>0</v>
      </c>
      <c r="O86" s="321">
        <f t="shared" si="35"/>
        <v>0</v>
      </c>
      <c r="P86" s="321">
        <f t="shared" si="37"/>
        <v>0</v>
      </c>
      <c r="Q86" s="84">
        <f>+O86*3</f>
        <v>0</v>
      </c>
      <c r="R86" s="321"/>
      <c r="T86" s="321"/>
      <c r="U86" s="321">
        <f t="shared" si="36"/>
        <v>0</v>
      </c>
      <c r="V86" s="321">
        <f t="shared" si="38"/>
        <v>0</v>
      </c>
      <c r="W86" s="84">
        <f>+U86*3</f>
        <v>0</v>
      </c>
      <c r="X86" s="321"/>
      <c r="Z86" s="321"/>
      <c r="AA86" s="321">
        <f t="shared" si="34"/>
        <v>0</v>
      </c>
      <c r="AB86" s="321">
        <f t="shared" si="39"/>
        <v>0</v>
      </c>
      <c r="AC86" s="84">
        <f>+AA86*3</f>
        <v>0</v>
      </c>
      <c r="AD86" s="321"/>
      <c r="AF86" s="321"/>
    </row>
    <row r="87" spans="1:32">
      <c r="B87" t="s">
        <v>765</v>
      </c>
      <c r="C87" s="321">
        <v>0</v>
      </c>
      <c r="D87" s="321">
        <v>0</v>
      </c>
      <c r="E87" s="321">
        <v>0</v>
      </c>
      <c r="F87" s="321">
        <v>0</v>
      </c>
      <c r="G87" s="321">
        <v>0</v>
      </c>
      <c r="H87" s="321">
        <v>0</v>
      </c>
      <c r="I87" s="321">
        <v>0</v>
      </c>
      <c r="J87" s="321">
        <v>0</v>
      </c>
      <c r="K87" s="321">
        <v>0</v>
      </c>
      <c r="L87" s="321">
        <v>0</v>
      </c>
      <c r="M87" s="321">
        <v>0</v>
      </c>
      <c r="N87" s="321">
        <v>0</v>
      </c>
      <c r="O87" s="321">
        <f t="shared" si="35"/>
        <v>0</v>
      </c>
      <c r="P87" s="321">
        <f t="shared" si="37"/>
        <v>0</v>
      </c>
      <c r="Q87" s="84">
        <f>+O87*3</f>
        <v>0</v>
      </c>
      <c r="R87" s="321"/>
      <c r="T87" s="321"/>
      <c r="U87" s="321">
        <f t="shared" si="36"/>
        <v>0</v>
      </c>
      <c r="V87" s="321">
        <f t="shared" si="38"/>
        <v>0</v>
      </c>
      <c r="W87" s="84">
        <f>+U87*3</f>
        <v>0</v>
      </c>
      <c r="X87" s="321"/>
      <c r="Z87" s="321"/>
      <c r="AA87" s="321">
        <f t="shared" si="34"/>
        <v>0</v>
      </c>
      <c r="AB87" s="321">
        <f t="shared" si="39"/>
        <v>0</v>
      </c>
      <c r="AC87" s="84">
        <f>+AA87*3</f>
        <v>0</v>
      </c>
      <c r="AD87" s="321"/>
      <c r="AF87" s="321"/>
    </row>
    <row r="88" spans="1:32">
      <c r="A88" t="s">
        <v>820</v>
      </c>
      <c r="B88" t="s">
        <v>767</v>
      </c>
      <c r="C88" s="321">
        <v>0</v>
      </c>
      <c r="D88" s="321">
        <v>0</v>
      </c>
      <c r="E88" s="321">
        <v>0</v>
      </c>
      <c r="F88" s="321">
        <v>0</v>
      </c>
      <c r="G88" s="321">
        <v>0</v>
      </c>
      <c r="H88" s="321">
        <v>0</v>
      </c>
      <c r="I88" s="321">
        <v>0</v>
      </c>
      <c r="J88" s="321">
        <v>0</v>
      </c>
      <c r="K88" s="321">
        <v>0</v>
      </c>
      <c r="L88" s="321">
        <v>0</v>
      </c>
      <c r="M88" s="321">
        <v>0</v>
      </c>
      <c r="N88" s="321">
        <v>0</v>
      </c>
      <c r="O88" s="321">
        <f t="shared" si="35"/>
        <v>0</v>
      </c>
      <c r="P88" s="321">
        <f t="shared" si="37"/>
        <v>0</v>
      </c>
      <c r="Q88" s="84">
        <f>+O88*4</f>
        <v>0</v>
      </c>
      <c r="R88" s="321"/>
      <c r="T88" s="321"/>
      <c r="U88" s="321">
        <f t="shared" si="36"/>
        <v>0</v>
      </c>
      <c r="V88" s="321">
        <f t="shared" si="38"/>
        <v>0</v>
      </c>
      <c r="W88" s="84">
        <f>+U88*4</f>
        <v>0</v>
      </c>
      <c r="X88" s="321"/>
      <c r="Z88" s="321"/>
      <c r="AA88" s="321">
        <f t="shared" si="34"/>
        <v>0</v>
      </c>
      <c r="AB88" s="321">
        <f t="shared" si="39"/>
        <v>0</v>
      </c>
      <c r="AC88" s="84">
        <f>+AA88*4</f>
        <v>0</v>
      </c>
      <c r="AD88" s="321"/>
      <c r="AF88" s="321"/>
    </row>
    <row r="89" spans="1:32">
      <c r="B89" t="s">
        <v>766</v>
      </c>
      <c r="C89" s="321">
        <v>0</v>
      </c>
      <c r="D89" s="321">
        <v>0</v>
      </c>
      <c r="E89" s="321">
        <v>0</v>
      </c>
      <c r="F89" s="321">
        <v>0</v>
      </c>
      <c r="G89" s="321">
        <v>0</v>
      </c>
      <c r="H89" s="321">
        <v>0</v>
      </c>
      <c r="I89" s="321">
        <v>0</v>
      </c>
      <c r="J89" s="321">
        <v>0</v>
      </c>
      <c r="K89" s="321">
        <v>0</v>
      </c>
      <c r="L89" s="321">
        <v>0</v>
      </c>
      <c r="M89" s="321">
        <v>0</v>
      </c>
      <c r="N89" s="321">
        <v>0</v>
      </c>
      <c r="O89" s="321">
        <f t="shared" si="35"/>
        <v>0</v>
      </c>
      <c r="P89" s="321">
        <f t="shared" si="37"/>
        <v>0</v>
      </c>
      <c r="Q89" s="84">
        <f>+O89*4</f>
        <v>0</v>
      </c>
      <c r="R89" s="321"/>
      <c r="T89" s="321"/>
      <c r="U89" s="321">
        <f t="shared" si="36"/>
        <v>0</v>
      </c>
      <c r="V89" s="321">
        <f t="shared" si="38"/>
        <v>0</v>
      </c>
      <c r="W89" s="84">
        <f>+U89*4</f>
        <v>0</v>
      </c>
      <c r="X89" s="321"/>
      <c r="Z89" s="321"/>
      <c r="AA89" s="321">
        <f t="shared" si="34"/>
        <v>0</v>
      </c>
      <c r="AB89" s="321">
        <f t="shared" si="39"/>
        <v>0</v>
      </c>
      <c r="AC89" s="84">
        <f>+AA89*4</f>
        <v>0</v>
      </c>
      <c r="AD89" s="321"/>
      <c r="AF89" s="321"/>
    </row>
    <row r="90" spans="1:32">
      <c r="B90" t="s">
        <v>765</v>
      </c>
      <c r="C90" s="321">
        <v>0</v>
      </c>
      <c r="D90" s="321">
        <v>0</v>
      </c>
      <c r="E90" s="321">
        <v>0</v>
      </c>
      <c r="F90" s="321">
        <v>0</v>
      </c>
      <c r="G90" s="321">
        <v>0</v>
      </c>
      <c r="H90" s="321">
        <v>0</v>
      </c>
      <c r="I90" s="321">
        <v>0</v>
      </c>
      <c r="J90" s="321">
        <v>0</v>
      </c>
      <c r="K90" s="321">
        <v>0</v>
      </c>
      <c r="L90" s="321">
        <v>0</v>
      </c>
      <c r="M90" s="321">
        <v>0</v>
      </c>
      <c r="N90" s="321">
        <v>0</v>
      </c>
      <c r="O90" s="321">
        <f t="shared" si="35"/>
        <v>0</v>
      </c>
      <c r="P90" s="321">
        <f t="shared" si="37"/>
        <v>0</v>
      </c>
      <c r="Q90" s="84">
        <f>+O90*4</f>
        <v>0</v>
      </c>
      <c r="R90" s="321"/>
      <c r="T90" s="321"/>
      <c r="U90" s="321">
        <f t="shared" si="36"/>
        <v>0</v>
      </c>
      <c r="V90" s="321">
        <f t="shared" si="38"/>
        <v>0</v>
      </c>
      <c r="W90" s="84">
        <f>+U90*4</f>
        <v>0</v>
      </c>
      <c r="X90" s="321"/>
      <c r="Z90" s="321"/>
      <c r="AA90" s="321">
        <f t="shared" si="34"/>
        <v>0</v>
      </c>
      <c r="AB90" s="321">
        <f t="shared" si="39"/>
        <v>0</v>
      </c>
      <c r="AC90" s="84">
        <f>+AA90*4</f>
        <v>0</v>
      </c>
      <c r="AD90" s="321"/>
      <c r="AF90" s="321"/>
    </row>
    <row r="91" spans="1:32">
      <c r="A91" t="s">
        <v>819</v>
      </c>
      <c r="B91" t="s">
        <v>767</v>
      </c>
      <c r="C91" s="321">
        <v>0</v>
      </c>
      <c r="D91" s="321">
        <v>0</v>
      </c>
      <c r="E91" s="321">
        <v>0</v>
      </c>
      <c r="F91" s="321">
        <v>0</v>
      </c>
      <c r="G91" s="321">
        <v>0</v>
      </c>
      <c r="H91" s="321">
        <v>0</v>
      </c>
      <c r="I91" s="321">
        <v>0</v>
      </c>
      <c r="J91" s="321">
        <v>0</v>
      </c>
      <c r="K91" s="321">
        <v>0</v>
      </c>
      <c r="L91" s="321">
        <v>0</v>
      </c>
      <c r="M91" s="321">
        <v>0</v>
      </c>
      <c r="N91" s="321">
        <v>0</v>
      </c>
      <c r="O91" s="321">
        <f t="shared" si="35"/>
        <v>0</v>
      </c>
      <c r="P91" s="321">
        <f t="shared" si="37"/>
        <v>0</v>
      </c>
      <c r="Q91" s="84"/>
      <c r="R91" s="321">
        <f t="shared" ref="R91:S93" si="40">+P85+P88+P91+P94+P97+P100+P103+P106+P109+P112+P115</f>
        <v>0</v>
      </c>
      <c r="S91" s="321">
        <f t="shared" si="40"/>
        <v>0</v>
      </c>
      <c r="T91" s="321"/>
      <c r="U91" s="321">
        <f t="shared" si="36"/>
        <v>0</v>
      </c>
      <c r="V91" s="321">
        <f t="shared" si="38"/>
        <v>0</v>
      </c>
      <c r="W91" s="84"/>
      <c r="X91" s="321">
        <f t="shared" ref="X91:Y93" si="41">+V85+V88+V91+V94+V97+V100+V103+V106+V109+V112+V115</f>
        <v>0</v>
      </c>
      <c r="Y91" s="321">
        <f t="shared" si="41"/>
        <v>0</v>
      </c>
      <c r="Z91" s="321"/>
      <c r="AA91" s="321">
        <f t="shared" si="34"/>
        <v>0</v>
      </c>
      <c r="AB91" s="321">
        <f t="shared" si="39"/>
        <v>0</v>
      </c>
      <c r="AC91" s="84"/>
      <c r="AD91" s="321">
        <f t="shared" ref="AD91:AE93" si="42">+AB85+AB88+AB91+AB94+AB97+AB100+AB103+AB106+AB109+AB112+AB115</f>
        <v>0</v>
      </c>
      <c r="AE91" s="321">
        <f t="shared" si="42"/>
        <v>0</v>
      </c>
      <c r="AF91" s="321"/>
    </row>
    <row r="92" spans="1:32">
      <c r="B92" t="s">
        <v>766</v>
      </c>
      <c r="C92" s="321">
        <v>0</v>
      </c>
      <c r="D92" s="321">
        <v>0</v>
      </c>
      <c r="E92" s="321">
        <v>0</v>
      </c>
      <c r="F92" s="321">
        <v>0</v>
      </c>
      <c r="G92" s="321">
        <v>0</v>
      </c>
      <c r="H92" s="321">
        <v>0</v>
      </c>
      <c r="I92" s="321">
        <v>0</v>
      </c>
      <c r="J92" s="321">
        <v>0</v>
      </c>
      <c r="K92" s="321">
        <v>0</v>
      </c>
      <c r="L92" s="321">
        <v>0</v>
      </c>
      <c r="M92" s="321">
        <v>0</v>
      </c>
      <c r="N92" s="321">
        <v>0</v>
      </c>
      <c r="O92" s="321">
        <f t="shared" si="35"/>
        <v>0</v>
      </c>
      <c r="P92" s="321">
        <f t="shared" si="37"/>
        <v>0</v>
      </c>
      <c r="Q92" s="84"/>
      <c r="R92" s="321">
        <f t="shared" si="40"/>
        <v>0</v>
      </c>
      <c r="S92" s="321">
        <f t="shared" si="40"/>
        <v>0</v>
      </c>
      <c r="T92" s="321"/>
      <c r="U92" s="321">
        <f t="shared" si="36"/>
        <v>0</v>
      </c>
      <c r="V92" s="321">
        <f t="shared" si="38"/>
        <v>0</v>
      </c>
      <c r="W92" s="84"/>
      <c r="X92" s="321">
        <f t="shared" si="41"/>
        <v>0</v>
      </c>
      <c r="Y92" s="321">
        <f t="shared" si="41"/>
        <v>0</v>
      </c>
      <c r="Z92" s="321"/>
      <c r="AA92" s="321">
        <f t="shared" si="34"/>
        <v>0</v>
      </c>
      <c r="AB92" s="321">
        <f t="shared" si="39"/>
        <v>0</v>
      </c>
      <c r="AC92" s="84"/>
      <c r="AD92" s="321">
        <f t="shared" si="42"/>
        <v>0</v>
      </c>
      <c r="AE92" s="321">
        <f t="shared" si="42"/>
        <v>0</v>
      </c>
      <c r="AF92" s="321"/>
    </row>
    <row r="93" spans="1:32">
      <c r="B93" t="s">
        <v>765</v>
      </c>
      <c r="C93" s="321">
        <v>0</v>
      </c>
      <c r="D93" s="321">
        <v>0</v>
      </c>
      <c r="E93" s="321">
        <v>0</v>
      </c>
      <c r="F93" s="321">
        <v>0</v>
      </c>
      <c r="G93" s="321">
        <v>0</v>
      </c>
      <c r="H93" s="321">
        <v>0</v>
      </c>
      <c r="I93" s="321">
        <v>0</v>
      </c>
      <c r="J93" s="321">
        <v>0</v>
      </c>
      <c r="K93" s="321">
        <v>0</v>
      </c>
      <c r="L93" s="321">
        <v>0</v>
      </c>
      <c r="M93" s="321">
        <v>0</v>
      </c>
      <c r="N93" s="321">
        <v>0</v>
      </c>
      <c r="O93" s="321">
        <f t="shared" si="35"/>
        <v>0</v>
      </c>
      <c r="P93" s="321">
        <f t="shared" si="37"/>
        <v>0</v>
      </c>
      <c r="Q93" s="84"/>
      <c r="R93" s="321">
        <f t="shared" si="40"/>
        <v>0</v>
      </c>
      <c r="S93" s="321">
        <f t="shared" si="40"/>
        <v>0</v>
      </c>
      <c r="T93" s="321"/>
      <c r="U93" s="321">
        <f t="shared" si="36"/>
        <v>0</v>
      </c>
      <c r="V93" s="321">
        <f t="shared" si="38"/>
        <v>0</v>
      </c>
      <c r="W93" s="84"/>
      <c r="X93" s="321">
        <f t="shared" si="41"/>
        <v>0</v>
      </c>
      <c r="Y93" s="321">
        <f t="shared" si="41"/>
        <v>0</v>
      </c>
      <c r="Z93" s="321"/>
      <c r="AA93" s="321">
        <f t="shared" si="34"/>
        <v>0</v>
      </c>
      <c r="AB93" s="321">
        <f t="shared" si="39"/>
        <v>0</v>
      </c>
      <c r="AC93" s="84"/>
      <c r="AD93" s="321">
        <f t="shared" si="42"/>
        <v>0</v>
      </c>
      <c r="AE93" s="321">
        <f t="shared" si="42"/>
        <v>0</v>
      </c>
      <c r="AF93" s="321"/>
    </row>
    <row r="94" spans="1:32">
      <c r="A94" t="s">
        <v>818</v>
      </c>
      <c r="B94" t="s">
        <v>767</v>
      </c>
      <c r="C94" s="321">
        <v>0</v>
      </c>
      <c r="D94" s="321">
        <v>0</v>
      </c>
      <c r="E94" s="321">
        <v>0</v>
      </c>
      <c r="F94" s="321">
        <v>0</v>
      </c>
      <c r="G94" s="321">
        <v>0</v>
      </c>
      <c r="H94" s="321">
        <v>0</v>
      </c>
      <c r="I94" s="321">
        <v>0</v>
      </c>
      <c r="J94" s="321">
        <v>0</v>
      </c>
      <c r="K94" s="321">
        <v>0</v>
      </c>
      <c r="L94" s="321">
        <v>0</v>
      </c>
      <c r="M94" s="321">
        <v>0</v>
      </c>
      <c r="N94" s="321">
        <v>0</v>
      </c>
      <c r="O94" s="321">
        <f t="shared" si="35"/>
        <v>0</v>
      </c>
      <c r="P94" s="321">
        <f t="shared" si="37"/>
        <v>0</v>
      </c>
      <c r="Q94" s="84">
        <f>+O94</f>
        <v>0</v>
      </c>
      <c r="R94" s="321"/>
      <c r="T94" s="321"/>
      <c r="U94" s="321">
        <f t="shared" si="36"/>
        <v>0</v>
      </c>
      <c r="V94" s="321">
        <f t="shared" si="38"/>
        <v>0</v>
      </c>
      <c r="W94" s="84">
        <f>+U94</f>
        <v>0</v>
      </c>
      <c r="X94" s="321"/>
      <c r="Z94" s="321"/>
      <c r="AA94" s="321">
        <f t="shared" si="34"/>
        <v>0</v>
      </c>
      <c r="AB94" s="321">
        <f t="shared" si="39"/>
        <v>0</v>
      </c>
      <c r="AC94" s="84">
        <f>+AA94</f>
        <v>0</v>
      </c>
      <c r="AD94" s="321"/>
      <c r="AF94" s="321"/>
    </row>
    <row r="95" spans="1:32">
      <c r="B95" t="s">
        <v>766</v>
      </c>
      <c r="C95" s="321">
        <v>0</v>
      </c>
      <c r="D95" s="321">
        <v>0</v>
      </c>
      <c r="E95" s="321">
        <v>0</v>
      </c>
      <c r="F95" s="321">
        <v>0</v>
      </c>
      <c r="G95" s="321">
        <v>0</v>
      </c>
      <c r="H95" s="321">
        <v>0</v>
      </c>
      <c r="I95" s="321">
        <v>0</v>
      </c>
      <c r="J95" s="321">
        <v>0</v>
      </c>
      <c r="K95" s="321">
        <v>0</v>
      </c>
      <c r="L95" s="321">
        <v>0</v>
      </c>
      <c r="M95" s="321">
        <v>0</v>
      </c>
      <c r="N95" s="321">
        <v>0</v>
      </c>
      <c r="O95" s="321">
        <f t="shared" si="35"/>
        <v>0</v>
      </c>
      <c r="P95" s="321">
        <f t="shared" si="37"/>
        <v>0</v>
      </c>
      <c r="Q95" s="84">
        <f>+O95</f>
        <v>0</v>
      </c>
      <c r="R95" s="321"/>
      <c r="T95" s="321"/>
      <c r="U95" s="321">
        <f t="shared" si="36"/>
        <v>0</v>
      </c>
      <c r="V95" s="321">
        <f t="shared" si="38"/>
        <v>0</v>
      </c>
      <c r="W95" s="84">
        <f>+U95</f>
        <v>0</v>
      </c>
      <c r="X95" s="321"/>
      <c r="Z95" s="321"/>
      <c r="AA95" s="321">
        <f t="shared" si="34"/>
        <v>0</v>
      </c>
      <c r="AB95" s="321">
        <f t="shared" si="39"/>
        <v>0</v>
      </c>
      <c r="AC95" s="84">
        <f>+AA95</f>
        <v>0</v>
      </c>
      <c r="AD95" s="321"/>
      <c r="AF95" s="321"/>
    </row>
    <row r="96" spans="1:32">
      <c r="B96" t="s">
        <v>765</v>
      </c>
      <c r="C96" s="321">
        <v>0</v>
      </c>
      <c r="D96" s="321">
        <v>0</v>
      </c>
      <c r="E96" s="321">
        <v>0</v>
      </c>
      <c r="F96" s="321">
        <v>0</v>
      </c>
      <c r="G96" s="321">
        <v>0</v>
      </c>
      <c r="H96" s="321">
        <v>0</v>
      </c>
      <c r="I96" s="321">
        <v>0</v>
      </c>
      <c r="J96" s="321">
        <v>0</v>
      </c>
      <c r="K96" s="321">
        <v>0</v>
      </c>
      <c r="L96" s="321">
        <v>0</v>
      </c>
      <c r="M96" s="321">
        <v>0</v>
      </c>
      <c r="N96" s="321">
        <v>0</v>
      </c>
      <c r="O96" s="321">
        <f t="shared" si="35"/>
        <v>0</v>
      </c>
      <c r="P96" s="321">
        <f t="shared" si="37"/>
        <v>0</v>
      </c>
      <c r="Q96" s="84">
        <f>+O96</f>
        <v>0</v>
      </c>
      <c r="R96" s="321"/>
      <c r="T96" s="321"/>
      <c r="U96" s="321">
        <f t="shared" si="36"/>
        <v>0</v>
      </c>
      <c r="V96" s="321">
        <f t="shared" si="38"/>
        <v>0</v>
      </c>
      <c r="W96" s="84">
        <f>+U96</f>
        <v>0</v>
      </c>
      <c r="X96" s="321"/>
      <c r="Z96" s="321"/>
      <c r="AA96" s="321">
        <f t="shared" si="34"/>
        <v>0</v>
      </c>
      <c r="AB96" s="321">
        <f t="shared" si="39"/>
        <v>0</v>
      </c>
      <c r="AC96" s="84">
        <f>+AA96</f>
        <v>0</v>
      </c>
      <c r="AD96" s="321"/>
      <c r="AF96" s="321"/>
    </row>
    <row r="97" spans="1:32">
      <c r="A97" t="s">
        <v>817</v>
      </c>
      <c r="B97" t="s">
        <v>767</v>
      </c>
      <c r="C97" s="321">
        <v>0</v>
      </c>
      <c r="D97" s="321">
        <v>0</v>
      </c>
      <c r="E97" s="321">
        <v>0</v>
      </c>
      <c r="F97" s="321">
        <v>0</v>
      </c>
      <c r="G97" s="321">
        <v>0</v>
      </c>
      <c r="H97" s="321">
        <v>0</v>
      </c>
      <c r="I97" s="321">
        <v>0</v>
      </c>
      <c r="J97" s="321">
        <v>0</v>
      </c>
      <c r="K97" s="321">
        <v>0</v>
      </c>
      <c r="L97" s="321">
        <v>0</v>
      </c>
      <c r="M97" s="321">
        <v>0</v>
      </c>
      <c r="N97" s="321">
        <v>0</v>
      </c>
      <c r="O97" s="321">
        <f t="shared" si="35"/>
        <v>0</v>
      </c>
      <c r="P97" s="321">
        <f t="shared" ref="P97:P105" si="43">+O97*2</f>
        <v>0</v>
      </c>
      <c r="Q97" s="84">
        <f>+O97*6</f>
        <v>0</v>
      </c>
      <c r="R97" s="321"/>
      <c r="T97" s="321"/>
      <c r="U97" s="321">
        <f t="shared" si="36"/>
        <v>0</v>
      </c>
      <c r="V97" s="321">
        <f t="shared" ref="V97:V105" si="44">+U97*2</f>
        <v>0</v>
      </c>
      <c r="W97" s="84">
        <f>+U97*6</f>
        <v>0</v>
      </c>
      <c r="X97" s="321"/>
      <c r="Z97" s="321"/>
      <c r="AA97" s="321">
        <f t="shared" si="34"/>
        <v>0</v>
      </c>
      <c r="AB97" s="321">
        <f t="shared" ref="AB97:AB105" si="45">+AA97*2</f>
        <v>0</v>
      </c>
      <c r="AC97" s="84">
        <f>+AA97*6</f>
        <v>0</v>
      </c>
      <c r="AD97" s="321"/>
      <c r="AF97" s="321"/>
    </row>
    <row r="98" spans="1:32">
      <c r="B98" t="s">
        <v>766</v>
      </c>
      <c r="C98" s="321">
        <v>0</v>
      </c>
      <c r="D98" s="321">
        <v>0</v>
      </c>
      <c r="E98" s="321">
        <v>0</v>
      </c>
      <c r="F98" s="321">
        <v>0</v>
      </c>
      <c r="G98" s="321">
        <v>0</v>
      </c>
      <c r="H98" s="321">
        <v>0</v>
      </c>
      <c r="I98" s="321">
        <v>0</v>
      </c>
      <c r="J98" s="321">
        <v>0</v>
      </c>
      <c r="K98" s="321">
        <v>0</v>
      </c>
      <c r="L98" s="321">
        <v>0</v>
      </c>
      <c r="M98" s="321">
        <v>0</v>
      </c>
      <c r="N98" s="321">
        <v>0</v>
      </c>
      <c r="O98" s="321">
        <f t="shared" si="35"/>
        <v>0</v>
      </c>
      <c r="P98" s="321">
        <f t="shared" si="43"/>
        <v>0</v>
      </c>
      <c r="Q98" s="84">
        <f>+O98*6</f>
        <v>0</v>
      </c>
      <c r="R98" s="321"/>
      <c r="T98" s="321"/>
      <c r="U98" s="321">
        <f t="shared" si="36"/>
        <v>0</v>
      </c>
      <c r="V98" s="321">
        <f t="shared" si="44"/>
        <v>0</v>
      </c>
      <c r="W98" s="84">
        <f>+U98*6</f>
        <v>0</v>
      </c>
      <c r="X98" s="321"/>
      <c r="Z98" s="321"/>
      <c r="AA98" s="321">
        <f t="shared" si="34"/>
        <v>0</v>
      </c>
      <c r="AB98" s="321">
        <f t="shared" si="45"/>
        <v>0</v>
      </c>
      <c r="AC98" s="84">
        <f>+AA98*6</f>
        <v>0</v>
      </c>
      <c r="AD98" s="321"/>
      <c r="AF98" s="321"/>
    </row>
    <row r="99" spans="1:32">
      <c r="B99" t="s">
        <v>765</v>
      </c>
      <c r="C99" s="321">
        <v>0</v>
      </c>
      <c r="D99" s="321">
        <v>0</v>
      </c>
      <c r="E99" s="321">
        <v>0</v>
      </c>
      <c r="F99" s="321">
        <v>0</v>
      </c>
      <c r="G99" s="321">
        <v>0</v>
      </c>
      <c r="H99" s="321">
        <v>0</v>
      </c>
      <c r="I99" s="321">
        <v>0</v>
      </c>
      <c r="J99" s="321">
        <v>0</v>
      </c>
      <c r="K99" s="321">
        <v>0</v>
      </c>
      <c r="L99" s="321">
        <v>0</v>
      </c>
      <c r="M99" s="321">
        <v>0</v>
      </c>
      <c r="N99" s="321">
        <v>0</v>
      </c>
      <c r="O99" s="321">
        <f t="shared" si="35"/>
        <v>0</v>
      </c>
      <c r="P99" s="321">
        <f t="shared" si="43"/>
        <v>0</v>
      </c>
      <c r="Q99" s="84">
        <f>+O99*6</f>
        <v>0</v>
      </c>
      <c r="R99" s="321"/>
      <c r="T99" s="321"/>
      <c r="U99" s="321">
        <f t="shared" si="36"/>
        <v>0</v>
      </c>
      <c r="V99" s="321">
        <f t="shared" si="44"/>
        <v>0</v>
      </c>
      <c r="W99" s="84">
        <f>+U99*6</f>
        <v>0</v>
      </c>
      <c r="X99" s="321"/>
      <c r="Z99" s="321"/>
      <c r="AA99" s="321">
        <f t="shared" si="34"/>
        <v>0</v>
      </c>
      <c r="AB99" s="321">
        <f t="shared" si="45"/>
        <v>0</v>
      </c>
      <c r="AC99" s="84">
        <f>+AA99*6</f>
        <v>0</v>
      </c>
      <c r="AD99" s="321"/>
      <c r="AF99" s="321"/>
    </row>
    <row r="100" spans="1:32">
      <c r="A100" t="s">
        <v>816</v>
      </c>
      <c r="B100" t="s">
        <v>767</v>
      </c>
      <c r="C100" s="321">
        <v>0</v>
      </c>
      <c r="D100" s="321">
        <v>0</v>
      </c>
      <c r="E100" s="321">
        <v>0</v>
      </c>
      <c r="F100" s="321">
        <v>0</v>
      </c>
      <c r="G100" s="321">
        <v>0</v>
      </c>
      <c r="H100" s="321">
        <v>0</v>
      </c>
      <c r="I100" s="321">
        <v>0</v>
      </c>
      <c r="J100" s="321">
        <v>0</v>
      </c>
      <c r="K100" s="321">
        <v>0</v>
      </c>
      <c r="L100" s="321">
        <v>0</v>
      </c>
      <c r="M100" s="321">
        <v>0</v>
      </c>
      <c r="N100" s="321">
        <v>0</v>
      </c>
      <c r="O100" s="321">
        <f t="shared" si="35"/>
        <v>0</v>
      </c>
      <c r="P100" s="84">
        <f t="shared" si="43"/>
        <v>0</v>
      </c>
      <c r="Q100" s="84"/>
      <c r="R100" s="321"/>
      <c r="T100" s="321"/>
      <c r="U100" s="321">
        <f t="shared" si="36"/>
        <v>0</v>
      </c>
      <c r="V100" s="84">
        <f t="shared" si="44"/>
        <v>0</v>
      </c>
      <c r="W100" s="84"/>
      <c r="X100" s="321"/>
      <c r="Z100" s="321"/>
      <c r="AA100" s="321">
        <f t="shared" si="34"/>
        <v>0</v>
      </c>
      <c r="AB100" s="84">
        <f t="shared" si="45"/>
        <v>0</v>
      </c>
      <c r="AC100" s="84"/>
      <c r="AD100" s="321"/>
      <c r="AF100" s="321"/>
    </row>
    <row r="101" spans="1:32">
      <c r="B101" t="s">
        <v>766</v>
      </c>
      <c r="C101" s="321">
        <v>0</v>
      </c>
      <c r="D101" s="321">
        <v>0</v>
      </c>
      <c r="E101" s="321">
        <v>0</v>
      </c>
      <c r="F101" s="321">
        <v>0</v>
      </c>
      <c r="G101" s="321">
        <v>0</v>
      </c>
      <c r="H101" s="321">
        <v>0</v>
      </c>
      <c r="I101" s="321">
        <v>0</v>
      </c>
      <c r="J101" s="321">
        <v>0</v>
      </c>
      <c r="K101" s="321">
        <v>0</v>
      </c>
      <c r="L101" s="321">
        <v>0</v>
      </c>
      <c r="M101" s="321">
        <v>0</v>
      </c>
      <c r="N101" s="321">
        <v>0</v>
      </c>
      <c r="O101" s="321">
        <f t="shared" si="35"/>
        <v>0</v>
      </c>
      <c r="P101" s="84">
        <f t="shared" si="43"/>
        <v>0</v>
      </c>
      <c r="Q101" s="84"/>
      <c r="R101" s="321"/>
      <c r="T101" s="321"/>
      <c r="U101" s="321">
        <f t="shared" si="36"/>
        <v>0</v>
      </c>
      <c r="V101" s="84">
        <f t="shared" si="44"/>
        <v>0</v>
      </c>
      <c r="W101" s="84"/>
      <c r="X101" s="321"/>
      <c r="Z101" s="321"/>
      <c r="AA101" s="321">
        <f t="shared" si="34"/>
        <v>0</v>
      </c>
      <c r="AB101" s="84">
        <f t="shared" si="45"/>
        <v>0</v>
      </c>
      <c r="AC101" s="84"/>
      <c r="AD101" s="321"/>
      <c r="AF101" s="321"/>
    </row>
    <row r="102" spans="1:32">
      <c r="B102" t="s">
        <v>765</v>
      </c>
      <c r="C102" s="321">
        <v>0</v>
      </c>
      <c r="D102" s="321">
        <v>0</v>
      </c>
      <c r="E102" s="321">
        <v>0</v>
      </c>
      <c r="F102" s="321">
        <v>0</v>
      </c>
      <c r="G102" s="321">
        <v>0</v>
      </c>
      <c r="H102" s="321">
        <v>0</v>
      </c>
      <c r="I102" s="321">
        <v>0</v>
      </c>
      <c r="J102" s="321">
        <v>0</v>
      </c>
      <c r="K102" s="321">
        <v>0</v>
      </c>
      <c r="L102" s="321">
        <v>0</v>
      </c>
      <c r="M102" s="321">
        <v>0</v>
      </c>
      <c r="N102" s="321">
        <v>0</v>
      </c>
      <c r="O102" s="321">
        <f t="shared" si="35"/>
        <v>0</v>
      </c>
      <c r="P102" s="84">
        <f t="shared" si="43"/>
        <v>0</v>
      </c>
      <c r="Q102" s="84"/>
      <c r="R102" s="321"/>
      <c r="T102" s="321"/>
      <c r="U102" s="321">
        <f t="shared" si="36"/>
        <v>0</v>
      </c>
      <c r="V102" s="84">
        <f t="shared" si="44"/>
        <v>0</v>
      </c>
      <c r="W102" s="84"/>
      <c r="X102" s="321"/>
      <c r="Z102" s="321"/>
      <c r="AA102" s="321">
        <f t="shared" si="34"/>
        <v>0</v>
      </c>
      <c r="AB102" s="84">
        <f t="shared" si="45"/>
        <v>0</v>
      </c>
      <c r="AC102" s="84"/>
      <c r="AD102" s="321"/>
      <c r="AF102" s="321"/>
    </row>
    <row r="103" spans="1:32">
      <c r="A103" t="s">
        <v>815</v>
      </c>
      <c r="B103" t="s">
        <v>767</v>
      </c>
      <c r="C103" s="321">
        <v>0</v>
      </c>
      <c r="D103" s="321">
        <v>0</v>
      </c>
      <c r="E103" s="321">
        <v>0</v>
      </c>
      <c r="F103" s="321">
        <v>0</v>
      </c>
      <c r="G103" s="321">
        <v>0</v>
      </c>
      <c r="H103" s="321">
        <v>0</v>
      </c>
      <c r="I103" s="321">
        <v>0</v>
      </c>
      <c r="J103" s="321">
        <v>0</v>
      </c>
      <c r="K103" s="321">
        <v>0</v>
      </c>
      <c r="L103" s="321">
        <v>0</v>
      </c>
      <c r="M103" s="321">
        <v>0</v>
      </c>
      <c r="N103" s="321">
        <v>0</v>
      </c>
      <c r="O103" s="321">
        <f t="shared" si="35"/>
        <v>0</v>
      </c>
      <c r="P103" s="84">
        <f t="shared" si="43"/>
        <v>0</v>
      </c>
      <c r="Q103" s="84">
        <f>+O103*2</f>
        <v>0</v>
      </c>
      <c r="R103" s="321"/>
      <c r="T103" s="321"/>
      <c r="U103" s="321">
        <f t="shared" si="36"/>
        <v>0</v>
      </c>
      <c r="V103" s="84">
        <f t="shared" si="44"/>
        <v>0</v>
      </c>
      <c r="W103" s="84">
        <f>+U103*2</f>
        <v>0</v>
      </c>
      <c r="X103" s="321"/>
      <c r="Z103" s="321"/>
      <c r="AA103" s="321">
        <f t="shared" si="34"/>
        <v>0</v>
      </c>
      <c r="AB103" s="84">
        <f t="shared" si="45"/>
        <v>0</v>
      </c>
      <c r="AC103" s="84">
        <f>+AA103*2</f>
        <v>0</v>
      </c>
      <c r="AD103" s="321"/>
      <c r="AF103" s="321"/>
    </row>
    <row r="104" spans="1:32">
      <c r="B104" t="s">
        <v>766</v>
      </c>
      <c r="C104" s="321">
        <v>0</v>
      </c>
      <c r="D104" s="321">
        <v>0</v>
      </c>
      <c r="E104" s="321">
        <v>0</v>
      </c>
      <c r="F104" s="321">
        <v>0</v>
      </c>
      <c r="G104" s="321">
        <v>0</v>
      </c>
      <c r="H104" s="321">
        <v>0</v>
      </c>
      <c r="I104" s="321">
        <v>0</v>
      </c>
      <c r="J104" s="321">
        <v>0</v>
      </c>
      <c r="K104" s="321">
        <v>0</v>
      </c>
      <c r="L104" s="321">
        <v>0</v>
      </c>
      <c r="M104" s="321">
        <v>0</v>
      </c>
      <c r="N104" s="321">
        <v>0</v>
      </c>
      <c r="O104" s="321">
        <f t="shared" si="35"/>
        <v>0</v>
      </c>
      <c r="P104" s="84">
        <f t="shared" si="43"/>
        <v>0</v>
      </c>
      <c r="Q104" s="84">
        <f>+O104*2</f>
        <v>0</v>
      </c>
      <c r="R104" s="321"/>
      <c r="T104" s="321"/>
      <c r="U104" s="321">
        <f t="shared" si="36"/>
        <v>0</v>
      </c>
      <c r="V104" s="84">
        <f t="shared" si="44"/>
        <v>0</v>
      </c>
      <c r="W104" s="84">
        <f>+U104*2</f>
        <v>0</v>
      </c>
      <c r="X104" s="321"/>
      <c r="Z104" s="321"/>
      <c r="AA104" s="321">
        <f t="shared" si="34"/>
        <v>0</v>
      </c>
      <c r="AB104" s="84">
        <f t="shared" si="45"/>
        <v>0</v>
      </c>
      <c r="AC104" s="84">
        <f>+AA104*2</f>
        <v>0</v>
      </c>
      <c r="AD104" s="321"/>
      <c r="AF104" s="321"/>
    </row>
    <row r="105" spans="1:32">
      <c r="B105" t="s">
        <v>765</v>
      </c>
      <c r="C105" s="321">
        <v>0</v>
      </c>
      <c r="D105" s="321">
        <v>0</v>
      </c>
      <c r="E105" s="321">
        <v>0</v>
      </c>
      <c r="F105" s="321">
        <v>0</v>
      </c>
      <c r="G105" s="321">
        <v>0</v>
      </c>
      <c r="H105" s="321">
        <v>0</v>
      </c>
      <c r="I105" s="321">
        <v>0</v>
      </c>
      <c r="J105" s="321">
        <v>0</v>
      </c>
      <c r="K105" s="321">
        <v>0</v>
      </c>
      <c r="L105" s="321">
        <v>0</v>
      </c>
      <c r="M105" s="321">
        <v>0</v>
      </c>
      <c r="N105" s="321">
        <v>0</v>
      </c>
      <c r="O105" s="321">
        <f t="shared" si="35"/>
        <v>0</v>
      </c>
      <c r="P105" s="84">
        <f t="shared" si="43"/>
        <v>0</v>
      </c>
      <c r="Q105" s="84">
        <f>+O105*2</f>
        <v>0</v>
      </c>
      <c r="R105" s="321"/>
      <c r="T105" s="321"/>
      <c r="U105" s="321">
        <f t="shared" si="36"/>
        <v>0</v>
      </c>
      <c r="V105" s="84">
        <f t="shared" si="44"/>
        <v>0</v>
      </c>
      <c r="W105" s="84">
        <f>+U105*2</f>
        <v>0</v>
      </c>
      <c r="X105" s="321"/>
      <c r="Z105" s="321"/>
      <c r="AA105" s="321">
        <f t="shared" si="34"/>
        <v>0</v>
      </c>
      <c r="AB105" s="84">
        <f t="shared" si="45"/>
        <v>0</v>
      </c>
      <c r="AC105" s="84">
        <f>+AA105*2</f>
        <v>0</v>
      </c>
      <c r="AD105" s="321"/>
      <c r="AF105" s="321"/>
    </row>
    <row r="106" spans="1:32">
      <c r="A106" t="s">
        <v>814</v>
      </c>
      <c r="B106" t="s">
        <v>767</v>
      </c>
      <c r="C106" s="321">
        <v>0</v>
      </c>
      <c r="D106" s="321">
        <v>0</v>
      </c>
      <c r="E106" s="321">
        <v>0</v>
      </c>
      <c r="F106" s="321">
        <v>0</v>
      </c>
      <c r="G106" s="321">
        <v>0</v>
      </c>
      <c r="H106" s="321">
        <v>0</v>
      </c>
      <c r="I106" s="321">
        <v>0</v>
      </c>
      <c r="J106" s="321">
        <v>0</v>
      </c>
      <c r="K106" s="321">
        <v>0</v>
      </c>
      <c r="L106" s="321">
        <v>0</v>
      </c>
      <c r="M106" s="321">
        <v>0</v>
      </c>
      <c r="N106" s="321">
        <v>0</v>
      </c>
      <c r="O106" s="321">
        <f t="shared" si="35"/>
        <v>0</v>
      </c>
      <c r="P106" s="84">
        <f t="shared" ref="P106:P111" si="46">+O106*3</f>
        <v>0</v>
      </c>
      <c r="Q106" s="84"/>
      <c r="R106" s="321"/>
      <c r="T106" s="321"/>
      <c r="U106" s="321">
        <f t="shared" si="36"/>
        <v>0</v>
      </c>
      <c r="V106" s="84">
        <f t="shared" ref="V106:V111" si="47">+U106*3</f>
        <v>0</v>
      </c>
      <c r="W106" s="84"/>
      <c r="X106" s="321"/>
      <c r="Z106" s="321"/>
      <c r="AA106" s="321">
        <f t="shared" si="34"/>
        <v>0</v>
      </c>
      <c r="AB106" s="84">
        <f t="shared" ref="AB106:AB111" si="48">+AA106*3</f>
        <v>0</v>
      </c>
      <c r="AC106" s="84"/>
      <c r="AD106" s="321"/>
      <c r="AF106" s="321"/>
    </row>
    <row r="107" spans="1:32">
      <c r="B107" t="s">
        <v>766</v>
      </c>
      <c r="C107" s="321">
        <v>0</v>
      </c>
      <c r="D107" s="321">
        <v>0</v>
      </c>
      <c r="E107" s="321">
        <v>0</v>
      </c>
      <c r="F107" s="321">
        <v>0</v>
      </c>
      <c r="G107" s="321">
        <v>0</v>
      </c>
      <c r="H107" s="321">
        <v>0</v>
      </c>
      <c r="I107" s="321">
        <v>0</v>
      </c>
      <c r="J107" s="321">
        <v>0</v>
      </c>
      <c r="K107" s="321">
        <v>0</v>
      </c>
      <c r="L107" s="321">
        <v>0</v>
      </c>
      <c r="M107" s="321">
        <v>0</v>
      </c>
      <c r="N107" s="321">
        <v>0</v>
      </c>
      <c r="O107" s="321">
        <f t="shared" si="35"/>
        <v>0</v>
      </c>
      <c r="P107" s="84">
        <f t="shared" si="46"/>
        <v>0</v>
      </c>
      <c r="Q107" s="84"/>
      <c r="R107" s="321"/>
      <c r="T107" s="321"/>
      <c r="U107" s="321">
        <f t="shared" si="36"/>
        <v>0</v>
      </c>
      <c r="V107" s="84">
        <f t="shared" si="47"/>
        <v>0</v>
      </c>
      <c r="W107" s="84"/>
      <c r="X107" s="321"/>
      <c r="Z107" s="321"/>
      <c r="AA107" s="321">
        <f t="shared" si="34"/>
        <v>0</v>
      </c>
      <c r="AB107" s="84">
        <f t="shared" si="48"/>
        <v>0</v>
      </c>
      <c r="AC107" s="84"/>
      <c r="AD107" s="321"/>
      <c r="AF107" s="321"/>
    </row>
    <row r="108" spans="1:32">
      <c r="B108" t="s">
        <v>765</v>
      </c>
      <c r="C108" s="321">
        <v>0</v>
      </c>
      <c r="D108" s="321">
        <v>0</v>
      </c>
      <c r="E108" s="321">
        <v>0</v>
      </c>
      <c r="F108" s="321">
        <v>0</v>
      </c>
      <c r="G108" s="321">
        <v>0</v>
      </c>
      <c r="H108" s="321">
        <v>0</v>
      </c>
      <c r="I108" s="321">
        <v>0</v>
      </c>
      <c r="J108" s="321">
        <v>0</v>
      </c>
      <c r="K108" s="321">
        <v>0</v>
      </c>
      <c r="L108" s="321">
        <v>0</v>
      </c>
      <c r="M108" s="321">
        <v>0</v>
      </c>
      <c r="N108" s="321">
        <v>0</v>
      </c>
      <c r="O108" s="321">
        <f t="shared" si="35"/>
        <v>0</v>
      </c>
      <c r="P108" s="84">
        <f t="shared" si="46"/>
        <v>0</v>
      </c>
      <c r="Q108" s="84"/>
      <c r="R108" s="321"/>
      <c r="T108" s="321"/>
      <c r="U108" s="321">
        <f t="shared" si="36"/>
        <v>0</v>
      </c>
      <c r="V108" s="84">
        <f t="shared" si="47"/>
        <v>0</v>
      </c>
      <c r="W108" s="84"/>
      <c r="X108" s="321"/>
      <c r="Z108" s="321"/>
      <c r="AA108" s="321">
        <f t="shared" si="34"/>
        <v>0</v>
      </c>
      <c r="AB108" s="84">
        <f t="shared" si="48"/>
        <v>0</v>
      </c>
      <c r="AC108" s="84"/>
      <c r="AD108" s="321"/>
      <c r="AF108" s="321"/>
    </row>
    <row r="109" spans="1:32">
      <c r="A109" t="s">
        <v>813</v>
      </c>
      <c r="B109" t="s">
        <v>767</v>
      </c>
      <c r="C109" s="321">
        <v>0</v>
      </c>
      <c r="D109" s="321">
        <v>0</v>
      </c>
      <c r="E109" s="321">
        <v>0</v>
      </c>
      <c r="F109" s="321">
        <v>0</v>
      </c>
      <c r="G109" s="321">
        <v>0</v>
      </c>
      <c r="H109" s="321">
        <v>0</v>
      </c>
      <c r="I109" s="321">
        <v>0</v>
      </c>
      <c r="J109" s="321">
        <v>0</v>
      </c>
      <c r="K109" s="321">
        <v>0</v>
      </c>
      <c r="L109" s="321">
        <v>0</v>
      </c>
      <c r="M109" s="321">
        <v>0</v>
      </c>
      <c r="N109" s="321">
        <v>0</v>
      </c>
      <c r="O109" s="321">
        <f t="shared" si="35"/>
        <v>0</v>
      </c>
      <c r="P109" s="84">
        <f t="shared" si="46"/>
        <v>0</v>
      </c>
      <c r="Q109" s="84">
        <f>+O109*3</f>
        <v>0</v>
      </c>
      <c r="R109" s="321"/>
      <c r="T109" s="321"/>
      <c r="U109" s="321">
        <f t="shared" si="36"/>
        <v>0</v>
      </c>
      <c r="V109" s="84">
        <f t="shared" si="47"/>
        <v>0</v>
      </c>
      <c r="W109" s="84">
        <f>+U109*3</f>
        <v>0</v>
      </c>
      <c r="X109" s="321"/>
      <c r="Z109" s="321"/>
      <c r="AA109" s="321">
        <f t="shared" si="34"/>
        <v>0</v>
      </c>
      <c r="AB109" s="84">
        <f t="shared" si="48"/>
        <v>0</v>
      </c>
      <c r="AC109" s="84">
        <f>+AA109*3</f>
        <v>0</v>
      </c>
      <c r="AD109" s="321"/>
      <c r="AF109" s="321"/>
    </row>
    <row r="110" spans="1:32">
      <c r="B110" t="s">
        <v>766</v>
      </c>
      <c r="C110" s="321">
        <v>0</v>
      </c>
      <c r="D110" s="321">
        <v>0</v>
      </c>
      <c r="E110" s="321">
        <v>0</v>
      </c>
      <c r="F110" s="321">
        <v>0</v>
      </c>
      <c r="G110" s="321">
        <v>0</v>
      </c>
      <c r="H110" s="321">
        <v>0</v>
      </c>
      <c r="I110" s="321">
        <v>0</v>
      </c>
      <c r="J110" s="321">
        <v>0</v>
      </c>
      <c r="K110" s="321">
        <v>0</v>
      </c>
      <c r="L110" s="321">
        <v>0</v>
      </c>
      <c r="M110" s="321">
        <v>0</v>
      </c>
      <c r="N110" s="321">
        <v>0</v>
      </c>
      <c r="O110" s="321">
        <f t="shared" si="35"/>
        <v>0</v>
      </c>
      <c r="P110" s="84">
        <f t="shared" si="46"/>
        <v>0</v>
      </c>
      <c r="Q110" s="84">
        <f>+O110*3</f>
        <v>0</v>
      </c>
      <c r="R110" s="321"/>
      <c r="T110" s="321"/>
      <c r="U110" s="321">
        <f t="shared" si="36"/>
        <v>0</v>
      </c>
      <c r="V110" s="84">
        <f t="shared" si="47"/>
        <v>0</v>
      </c>
      <c r="W110" s="84">
        <f>+U110*3</f>
        <v>0</v>
      </c>
      <c r="X110" s="321"/>
      <c r="Z110" s="321"/>
      <c r="AA110" s="321">
        <f t="shared" si="34"/>
        <v>0</v>
      </c>
      <c r="AB110" s="84">
        <f t="shared" si="48"/>
        <v>0</v>
      </c>
      <c r="AC110" s="84">
        <f>+AA110*3</f>
        <v>0</v>
      </c>
      <c r="AD110" s="321"/>
      <c r="AF110" s="321"/>
    </row>
    <row r="111" spans="1:32">
      <c r="B111" t="s">
        <v>765</v>
      </c>
      <c r="C111" s="321">
        <v>0</v>
      </c>
      <c r="D111" s="321">
        <v>0</v>
      </c>
      <c r="E111" s="321">
        <v>0</v>
      </c>
      <c r="F111" s="321">
        <v>0</v>
      </c>
      <c r="G111" s="321">
        <v>0</v>
      </c>
      <c r="H111" s="321">
        <v>0</v>
      </c>
      <c r="I111" s="321">
        <v>0</v>
      </c>
      <c r="J111" s="321">
        <v>0</v>
      </c>
      <c r="K111" s="321">
        <v>0</v>
      </c>
      <c r="L111" s="321">
        <v>0</v>
      </c>
      <c r="M111" s="321">
        <v>0</v>
      </c>
      <c r="N111" s="321">
        <v>0</v>
      </c>
      <c r="O111" s="321">
        <f t="shared" si="35"/>
        <v>0</v>
      </c>
      <c r="P111" s="84">
        <f t="shared" si="46"/>
        <v>0</v>
      </c>
      <c r="Q111" s="84">
        <f>+O111*3</f>
        <v>0</v>
      </c>
      <c r="R111" s="321"/>
      <c r="T111" s="321"/>
      <c r="U111" s="321">
        <f t="shared" si="36"/>
        <v>0</v>
      </c>
      <c r="V111" s="84">
        <f t="shared" si="47"/>
        <v>0</v>
      </c>
      <c r="W111" s="84">
        <f>+U111*3</f>
        <v>0</v>
      </c>
      <c r="X111" s="321"/>
      <c r="Z111" s="321"/>
      <c r="AA111" s="321">
        <f t="shared" si="34"/>
        <v>0</v>
      </c>
      <c r="AB111" s="84">
        <f t="shared" si="48"/>
        <v>0</v>
      </c>
      <c r="AC111" s="84">
        <f>+AA111*3</f>
        <v>0</v>
      </c>
      <c r="AD111" s="321"/>
      <c r="AF111" s="321"/>
    </row>
    <row r="112" spans="1:32">
      <c r="A112" t="s">
        <v>812</v>
      </c>
      <c r="B112" t="s">
        <v>767</v>
      </c>
      <c r="C112" s="321">
        <v>0</v>
      </c>
      <c r="D112" s="321">
        <v>0</v>
      </c>
      <c r="E112" s="321">
        <v>0</v>
      </c>
      <c r="F112" s="321">
        <v>0</v>
      </c>
      <c r="G112" s="321">
        <v>0</v>
      </c>
      <c r="H112" s="321">
        <v>0</v>
      </c>
      <c r="I112" s="321">
        <v>0</v>
      </c>
      <c r="J112" s="321">
        <v>0</v>
      </c>
      <c r="K112" s="321">
        <v>0</v>
      </c>
      <c r="L112" s="321">
        <v>0</v>
      </c>
      <c r="M112" s="321">
        <v>0</v>
      </c>
      <c r="N112" s="321">
        <v>0</v>
      </c>
      <c r="O112" s="321">
        <f t="shared" si="35"/>
        <v>0</v>
      </c>
      <c r="P112" s="84">
        <f t="shared" ref="P112:P117" si="49">+O112*4</f>
        <v>0</v>
      </c>
      <c r="Q112" s="84"/>
      <c r="R112" s="321"/>
      <c r="T112" s="321"/>
      <c r="U112" s="321">
        <f t="shared" si="36"/>
        <v>0</v>
      </c>
      <c r="V112" s="84">
        <f t="shared" ref="V112:V117" si="50">+U112*4</f>
        <v>0</v>
      </c>
      <c r="W112" s="84"/>
      <c r="X112" s="321"/>
      <c r="Z112" s="321"/>
      <c r="AA112" s="321">
        <f t="shared" si="34"/>
        <v>0</v>
      </c>
      <c r="AB112" s="84">
        <f t="shared" ref="AB112:AB117" si="51">+AA112*4</f>
        <v>0</v>
      </c>
      <c r="AC112" s="84"/>
      <c r="AD112" s="321"/>
      <c r="AF112" s="321"/>
    </row>
    <row r="113" spans="1:32">
      <c r="B113" t="s">
        <v>766</v>
      </c>
      <c r="C113" s="321">
        <v>0</v>
      </c>
      <c r="D113" s="321">
        <v>0</v>
      </c>
      <c r="E113" s="321">
        <v>0</v>
      </c>
      <c r="F113" s="321">
        <v>0</v>
      </c>
      <c r="G113" s="321">
        <v>0</v>
      </c>
      <c r="H113" s="321">
        <v>0</v>
      </c>
      <c r="I113" s="321">
        <v>0</v>
      </c>
      <c r="J113" s="321">
        <v>0</v>
      </c>
      <c r="K113" s="321">
        <v>0</v>
      </c>
      <c r="L113" s="321">
        <v>0</v>
      </c>
      <c r="M113" s="321">
        <v>0</v>
      </c>
      <c r="N113" s="321">
        <v>0</v>
      </c>
      <c r="O113" s="321">
        <f t="shared" si="35"/>
        <v>0</v>
      </c>
      <c r="P113" s="84">
        <f t="shared" si="49"/>
        <v>0</v>
      </c>
      <c r="Q113" s="84"/>
      <c r="R113" s="321"/>
      <c r="T113" s="321"/>
      <c r="U113" s="321">
        <f t="shared" si="36"/>
        <v>0</v>
      </c>
      <c r="V113" s="84">
        <f t="shared" si="50"/>
        <v>0</v>
      </c>
      <c r="W113" s="84"/>
      <c r="X113" s="321"/>
      <c r="Z113" s="321"/>
      <c r="AA113" s="321">
        <f t="shared" si="34"/>
        <v>0</v>
      </c>
      <c r="AB113" s="84">
        <f t="shared" si="51"/>
        <v>0</v>
      </c>
      <c r="AC113" s="84"/>
      <c r="AD113" s="321"/>
      <c r="AF113" s="321"/>
    </row>
    <row r="114" spans="1:32">
      <c r="B114" t="s">
        <v>765</v>
      </c>
      <c r="C114" s="321">
        <v>0</v>
      </c>
      <c r="D114" s="321">
        <v>0</v>
      </c>
      <c r="E114" s="321">
        <v>0</v>
      </c>
      <c r="F114" s="321">
        <v>0</v>
      </c>
      <c r="G114" s="321">
        <v>0</v>
      </c>
      <c r="H114" s="321">
        <v>0</v>
      </c>
      <c r="I114" s="321">
        <v>0</v>
      </c>
      <c r="J114" s="321">
        <v>0</v>
      </c>
      <c r="K114" s="321">
        <v>0</v>
      </c>
      <c r="L114" s="321">
        <v>0</v>
      </c>
      <c r="M114" s="321">
        <v>0</v>
      </c>
      <c r="N114" s="321">
        <v>0</v>
      </c>
      <c r="O114" s="321">
        <f t="shared" si="35"/>
        <v>0</v>
      </c>
      <c r="P114" s="84">
        <f t="shared" si="49"/>
        <v>0</v>
      </c>
      <c r="Q114" s="84"/>
      <c r="R114" s="321"/>
      <c r="T114" s="321"/>
      <c r="U114" s="321">
        <f t="shared" si="36"/>
        <v>0</v>
      </c>
      <c r="V114" s="84">
        <f t="shared" si="50"/>
        <v>0</v>
      </c>
      <c r="W114" s="84"/>
      <c r="X114" s="321"/>
      <c r="Z114" s="321"/>
      <c r="AA114" s="321">
        <f t="shared" si="34"/>
        <v>0</v>
      </c>
      <c r="AB114" s="84">
        <f t="shared" si="51"/>
        <v>0</v>
      </c>
      <c r="AC114" s="84"/>
      <c r="AD114" s="321"/>
      <c r="AF114" s="321"/>
    </row>
    <row r="115" spans="1:32">
      <c r="A115" t="s">
        <v>811</v>
      </c>
      <c r="B115" t="s">
        <v>767</v>
      </c>
      <c r="C115" s="321">
        <v>0</v>
      </c>
      <c r="D115" s="321">
        <v>0</v>
      </c>
      <c r="E115" s="321">
        <v>0</v>
      </c>
      <c r="F115" s="321">
        <v>0</v>
      </c>
      <c r="G115" s="321">
        <v>0</v>
      </c>
      <c r="H115" s="321">
        <v>0</v>
      </c>
      <c r="I115" s="321">
        <v>0</v>
      </c>
      <c r="J115" s="321">
        <v>0</v>
      </c>
      <c r="K115" s="321">
        <v>0</v>
      </c>
      <c r="L115" s="321">
        <v>0</v>
      </c>
      <c r="M115" s="321">
        <v>0</v>
      </c>
      <c r="N115" s="321">
        <v>0</v>
      </c>
      <c r="O115" s="321">
        <f t="shared" si="35"/>
        <v>0</v>
      </c>
      <c r="P115" s="84">
        <f t="shared" si="49"/>
        <v>0</v>
      </c>
      <c r="Q115" s="84">
        <f>+O115*4</f>
        <v>0</v>
      </c>
      <c r="R115" s="321"/>
      <c r="T115" s="321"/>
      <c r="U115" s="321">
        <f t="shared" si="36"/>
        <v>0</v>
      </c>
      <c r="V115" s="84">
        <f t="shared" si="50"/>
        <v>0</v>
      </c>
      <c r="W115" s="84">
        <f>+U115*4</f>
        <v>0</v>
      </c>
      <c r="X115" s="321"/>
      <c r="Z115" s="321"/>
      <c r="AA115" s="321">
        <f t="shared" si="34"/>
        <v>0</v>
      </c>
      <c r="AB115" s="84">
        <f t="shared" si="51"/>
        <v>0</v>
      </c>
      <c r="AC115" s="84">
        <f>+AA115*4</f>
        <v>0</v>
      </c>
      <c r="AD115" s="321"/>
      <c r="AF115" s="321"/>
    </row>
    <row r="116" spans="1:32">
      <c r="B116" t="s">
        <v>766</v>
      </c>
      <c r="C116" s="321">
        <v>0</v>
      </c>
      <c r="D116" s="321">
        <v>0</v>
      </c>
      <c r="E116" s="321">
        <v>0</v>
      </c>
      <c r="F116" s="321">
        <v>0</v>
      </c>
      <c r="G116" s="321">
        <v>0</v>
      </c>
      <c r="H116" s="321">
        <v>0</v>
      </c>
      <c r="I116" s="321">
        <v>0</v>
      </c>
      <c r="J116" s="321">
        <v>0</v>
      </c>
      <c r="K116" s="321">
        <v>0</v>
      </c>
      <c r="L116" s="321">
        <v>0</v>
      </c>
      <c r="M116" s="321">
        <v>0</v>
      </c>
      <c r="N116" s="321">
        <v>0</v>
      </c>
      <c r="O116" s="321">
        <f t="shared" si="35"/>
        <v>0</v>
      </c>
      <c r="P116" s="84">
        <f t="shared" si="49"/>
        <v>0</v>
      </c>
      <c r="Q116" s="84">
        <f>+O116*4</f>
        <v>0</v>
      </c>
      <c r="R116" s="321"/>
      <c r="T116" s="321"/>
      <c r="U116" s="321">
        <f t="shared" si="36"/>
        <v>0</v>
      </c>
      <c r="V116" s="84">
        <f t="shared" si="50"/>
        <v>0</v>
      </c>
      <c r="W116" s="84">
        <f>+U116*4</f>
        <v>0</v>
      </c>
      <c r="X116" s="321"/>
      <c r="Z116" s="321"/>
      <c r="AA116" s="321">
        <f t="shared" si="34"/>
        <v>0</v>
      </c>
      <c r="AB116" s="84">
        <f t="shared" si="51"/>
        <v>0</v>
      </c>
      <c r="AC116" s="84">
        <f>+AA116*4</f>
        <v>0</v>
      </c>
      <c r="AD116" s="321"/>
      <c r="AF116" s="321"/>
    </row>
    <row r="117" spans="1:32">
      <c r="B117" t="s">
        <v>765</v>
      </c>
      <c r="C117" s="321">
        <v>0</v>
      </c>
      <c r="D117" s="321">
        <v>0</v>
      </c>
      <c r="E117" s="321">
        <v>0</v>
      </c>
      <c r="F117" s="321">
        <v>0</v>
      </c>
      <c r="G117" s="321">
        <v>0</v>
      </c>
      <c r="H117" s="321">
        <v>0</v>
      </c>
      <c r="I117" s="321">
        <v>0</v>
      </c>
      <c r="J117" s="321">
        <v>0</v>
      </c>
      <c r="K117" s="321">
        <v>0</v>
      </c>
      <c r="L117" s="321">
        <v>0</v>
      </c>
      <c r="M117" s="321">
        <v>0</v>
      </c>
      <c r="N117" s="321">
        <v>0</v>
      </c>
      <c r="O117" s="321">
        <f t="shared" si="35"/>
        <v>0</v>
      </c>
      <c r="P117" s="84">
        <f t="shared" si="49"/>
        <v>0</v>
      </c>
      <c r="Q117" s="84">
        <f>+O117*4</f>
        <v>0</v>
      </c>
      <c r="R117" s="321"/>
      <c r="T117" s="321"/>
      <c r="U117" s="321">
        <f t="shared" si="36"/>
        <v>0</v>
      </c>
      <c r="V117" s="84">
        <f t="shared" si="50"/>
        <v>0</v>
      </c>
      <c r="W117" s="84">
        <f>+U117*4</f>
        <v>0</v>
      </c>
      <c r="X117" s="321"/>
      <c r="Z117" s="321"/>
      <c r="AA117" s="321">
        <f t="shared" si="34"/>
        <v>0</v>
      </c>
      <c r="AB117" s="84">
        <f t="shared" si="51"/>
        <v>0</v>
      </c>
      <c r="AC117" s="84">
        <f>+AA117*4</f>
        <v>0</v>
      </c>
      <c r="AD117" s="321"/>
      <c r="AF117" s="321"/>
    </row>
    <row r="118" spans="1:32">
      <c r="A118" t="s">
        <v>810</v>
      </c>
      <c r="B118" t="s">
        <v>767</v>
      </c>
      <c r="C118" s="321">
        <v>0</v>
      </c>
      <c r="D118" s="321">
        <v>0</v>
      </c>
      <c r="E118" s="321">
        <v>0</v>
      </c>
      <c r="F118" s="321">
        <v>0</v>
      </c>
      <c r="G118" s="321">
        <v>0</v>
      </c>
      <c r="H118" s="321">
        <v>0</v>
      </c>
      <c r="I118" s="321">
        <v>0</v>
      </c>
      <c r="J118" s="321">
        <v>0</v>
      </c>
      <c r="K118" s="321">
        <v>84</v>
      </c>
      <c r="L118" s="321">
        <v>0</v>
      </c>
      <c r="M118" s="321">
        <v>0</v>
      </c>
      <c r="N118" s="321">
        <v>0</v>
      </c>
      <c r="O118" s="321">
        <f t="shared" si="35"/>
        <v>84</v>
      </c>
      <c r="R118" s="321">
        <f t="shared" ref="R118:R149" si="52">+O118+Q118</f>
        <v>84</v>
      </c>
      <c r="T118" s="321"/>
      <c r="U118" s="321">
        <f t="shared" si="36"/>
        <v>84</v>
      </c>
      <c r="X118" s="321">
        <f t="shared" ref="X118:X149" si="53">+U118+W118</f>
        <v>84</v>
      </c>
      <c r="Z118" s="321"/>
      <c r="AA118" s="321">
        <f t="shared" si="34"/>
        <v>0</v>
      </c>
      <c r="AD118" s="321">
        <f t="shared" ref="AD118:AD149" si="54">+AA118+AC118</f>
        <v>0</v>
      </c>
      <c r="AF118" s="321"/>
    </row>
    <row r="119" spans="1:32">
      <c r="B119" t="s">
        <v>766</v>
      </c>
      <c r="C119" s="321">
        <v>0</v>
      </c>
      <c r="D119" s="321">
        <v>0</v>
      </c>
      <c r="E119" s="321">
        <v>0</v>
      </c>
      <c r="F119" s="321">
        <v>0</v>
      </c>
      <c r="G119" s="321">
        <v>0</v>
      </c>
      <c r="H119" s="321">
        <v>0</v>
      </c>
      <c r="I119" s="321">
        <v>0</v>
      </c>
      <c r="J119" s="321">
        <v>0</v>
      </c>
      <c r="K119" s="321">
        <v>2</v>
      </c>
      <c r="L119" s="321">
        <v>0</v>
      </c>
      <c r="M119" s="321">
        <v>0</v>
      </c>
      <c r="N119" s="321">
        <v>0</v>
      </c>
      <c r="O119" s="321">
        <f t="shared" si="35"/>
        <v>2</v>
      </c>
      <c r="R119" s="321">
        <f t="shared" si="52"/>
        <v>2</v>
      </c>
      <c r="T119" s="321"/>
      <c r="U119" s="321">
        <f t="shared" si="36"/>
        <v>2</v>
      </c>
      <c r="X119" s="321">
        <f t="shared" si="53"/>
        <v>2</v>
      </c>
      <c r="Z119" s="321"/>
      <c r="AA119" s="321">
        <f t="shared" si="34"/>
        <v>0</v>
      </c>
      <c r="AD119" s="321">
        <f t="shared" si="54"/>
        <v>0</v>
      </c>
      <c r="AF119" s="321"/>
    </row>
    <row r="120" spans="1:32">
      <c r="B120" t="s">
        <v>765</v>
      </c>
      <c r="C120" s="321">
        <v>0</v>
      </c>
      <c r="D120" s="321">
        <v>0</v>
      </c>
      <c r="E120" s="321">
        <v>0</v>
      </c>
      <c r="F120" s="321">
        <v>0</v>
      </c>
      <c r="G120" s="321">
        <v>0</v>
      </c>
      <c r="H120" s="321">
        <v>0</v>
      </c>
      <c r="I120" s="321">
        <v>0</v>
      </c>
      <c r="J120" s="321">
        <v>0</v>
      </c>
      <c r="K120" s="321">
        <v>2</v>
      </c>
      <c r="L120" s="321">
        <v>0</v>
      </c>
      <c r="M120" s="321">
        <v>0</v>
      </c>
      <c r="N120" s="321">
        <v>0</v>
      </c>
      <c r="O120" s="321">
        <f t="shared" si="35"/>
        <v>2</v>
      </c>
      <c r="R120" s="321">
        <f t="shared" si="52"/>
        <v>2</v>
      </c>
      <c r="T120" s="321"/>
      <c r="U120" s="321">
        <f t="shared" si="36"/>
        <v>2</v>
      </c>
      <c r="X120" s="321">
        <f t="shared" si="53"/>
        <v>2</v>
      </c>
      <c r="Z120" s="321"/>
      <c r="AA120" s="321">
        <f t="shared" si="34"/>
        <v>0</v>
      </c>
      <c r="AD120" s="321">
        <f t="shared" si="54"/>
        <v>0</v>
      </c>
      <c r="AF120" s="321"/>
    </row>
    <row r="121" spans="1:32">
      <c r="A121" t="s">
        <v>809</v>
      </c>
      <c r="B121" t="s">
        <v>767</v>
      </c>
      <c r="C121" s="321">
        <v>0</v>
      </c>
      <c r="D121" s="321">
        <v>0</v>
      </c>
      <c r="E121" s="321">
        <v>0</v>
      </c>
      <c r="F121" s="321">
        <v>0</v>
      </c>
      <c r="G121" s="321">
        <v>0</v>
      </c>
      <c r="H121" s="321">
        <v>0</v>
      </c>
      <c r="I121" s="321">
        <v>0</v>
      </c>
      <c r="J121" s="321">
        <v>0</v>
      </c>
      <c r="K121" s="321">
        <v>13</v>
      </c>
      <c r="L121" s="321">
        <v>0</v>
      </c>
      <c r="M121" s="321">
        <v>0</v>
      </c>
      <c r="N121" s="321">
        <v>0</v>
      </c>
      <c r="O121" s="321">
        <f t="shared" si="35"/>
        <v>13</v>
      </c>
      <c r="R121" s="321">
        <f t="shared" si="52"/>
        <v>13</v>
      </c>
      <c r="T121" s="321"/>
      <c r="U121" s="321">
        <f t="shared" si="36"/>
        <v>13</v>
      </c>
      <c r="X121" s="321">
        <f t="shared" si="53"/>
        <v>13</v>
      </c>
      <c r="Z121" s="321"/>
      <c r="AA121" s="321">
        <f t="shared" si="34"/>
        <v>0</v>
      </c>
      <c r="AD121" s="321">
        <f t="shared" si="54"/>
        <v>0</v>
      </c>
      <c r="AF121" s="321"/>
    </row>
    <row r="122" spans="1:32">
      <c r="B122" t="s">
        <v>766</v>
      </c>
      <c r="C122" s="321">
        <v>0</v>
      </c>
      <c r="D122" s="321">
        <v>0</v>
      </c>
      <c r="E122" s="321">
        <v>0</v>
      </c>
      <c r="F122" s="321">
        <v>0</v>
      </c>
      <c r="G122" s="321">
        <v>0</v>
      </c>
      <c r="H122" s="321">
        <v>0</v>
      </c>
      <c r="I122" s="321">
        <v>0</v>
      </c>
      <c r="J122" s="321">
        <v>0</v>
      </c>
      <c r="K122" s="321">
        <v>0</v>
      </c>
      <c r="L122" s="321">
        <v>0</v>
      </c>
      <c r="M122" s="321">
        <v>0</v>
      </c>
      <c r="N122" s="321">
        <v>0</v>
      </c>
      <c r="O122" s="321">
        <f t="shared" si="35"/>
        <v>0</v>
      </c>
      <c r="R122" s="321">
        <f t="shared" si="52"/>
        <v>0</v>
      </c>
      <c r="T122" s="321"/>
      <c r="U122" s="321">
        <f t="shared" si="36"/>
        <v>0</v>
      </c>
      <c r="X122" s="321">
        <f t="shared" si="53"/>
        <v>0</v>
      </c>
      <c r="Z122" s="321"/>
      <c r="AA122" s="321">
        <f t="shared" si="34"/>
        <v>0</v>
      </c>
      <c r="AD122" s="321">
        <f t="shared" si="54"/>
        <v>0</v>
      </c>
      <c r="AF122" s="321"/>
    </row>
    <row r="123" spans="1:32">
      <c r="B123" t="s">
        <v>765</v>
      </c>
      <c r="C123" s="321">
        <v>0</v>
      </c>
      <c r="D123" s="321">
        <v>0</v>
      </c>
      <c r="E123" s="321">
        <v>0</v>
      </c>
      <c r="F123" s="321">
        <v>0</v>
      </c>
      <c r="G123" s="321">
        <v>0</v>
      </c>
      <c r="H123" s="321">
        <v>0</v>
      </c>
      <c r="I123" s="321">
        <v>0</v>
      </c>
      <c r="J123" s="321">
        <v>0</v>
      </c>
      <c r="K123" s="321">
        <v>0</v>
      </c>
      <c r="L123" s="321">
        <v>0</v>
      </c>
      <c r="M123" s="321">
        <v>0</v>
      </c>
      <c r="N123" s="321">
        <v>0</v>
      </c>
      <c r="O123" s="321">
        <f t="shared" si="35"/>
        <v>0</v>
      </c>
      <c r="R123" s="321">
        <f t="shared" si="52"/>
        <v>0</v>
      </c>
      <c r="T123" s="321"/>
      <c r="U123" s="321">
        <f t="shared" si="36"/>
        <v>0</v>
      </c>
      <c r="X123" s="321">
        <f t="shared" si="53"/>
        <v>0</v>
      </c>
      <c r="Z123" s="321"/>
      <c r="AA123" s="321">
        <f t="shared" si="34"/>
        <v>0</v>
      </c>
      <c r="AD123" s="321">
        <f t="shared" si="54"/>
        <v>0</v>
      </c>
      <c r="AF123" s="321"/>
    </row>
    <row r="124" spans="1:32">
      <c r="A124" t="s">
        <v>808</v>
      </c>
      <c r="B124" t="s">
        <v>767</v>
      </c>
      <c r="C124" s="321">
        <v>0</v>
      </c>
      <c r="D124" s="321">
        <v>0</v>
      </c>
      <c r="E124" s="321">
        <v>0</v>
      </c>
      <c r="F124" s="321">
        <v>0</v>
      </c>
      <c r="G124" s="321">
        <v>0</v>
      </c>
      <c r="H124" s="321">
        <v>0</v>
      </c>
      <c r="I124" s="321">
        <v>0</v>
      </c>
      <c r="J124" s="321">
        <v>0</v>
      </c>
      <c r="K124" s="321">
        <v>47</v>
      </c>
      <c r="L124" s="321">
        <v>0</v>
      </c>
      <c r="M124" s="321">
        <v>0</v>
      </c>
      <c r="N124" s="321">
        <v>0</v>
      </c>
      <c r="O124" s="321">
        <f t="shared" si="35"/>
        <v>47</v>
      </c>
      <c r="R124" s="321">
        <f t="shared" si="52"/>
        <v>47</v>
      </c>
      <c r="T124" s="321"/>
      <c r="U124" s="321">
        <f t="shared" si="36"/>
        <v>47</v>
      </c>
      <c r="X124" s="321">
        <f t="shared" si="53"/>
        <v>47</v>
      </c>
      <c r="Z124" s="321"/>
      <c r="AA124" s="321">
        <f t="shared" si="34"/>
        <v>0</v>
      </c>
      <c r="AD124" s="321">
        <f t="shared" si="54"/>
        <v>0</v>
      </c>
      <c r="AF124" s="321"/>
    </row>
    <row r="125" spans="1:32">
      <c r="B125" t="s">
        <v>766</v>
      </c>
      <c r="C125" s="321">
        <v>0</v>
      </c>
      <c r="D125" s="321">
        <v>0</v>
      </c>
      <c r="E125" s="321">
        <v>0</v>
      </c>
      <c r="F125" s="321">
        <v>0</v>
      </c>
      <c r="G125" s="321">
        <v>0</v>
      </c>
      <c r="H125" s="321">
        <v>0</v>
      </c>
      <c r="I125" s="321">
        <v>0</v>
      </c>
      <c r="J125" s="321">
        <v>0</v>
      </c>
      <c r="K125" s="321">
        <v>3</v>
      </c>
      <c r="L125" s="321">
        <v>0</v>
      </c>
      <c r="M125" s="321">
        <v>0</v>
      </c>
      <c r="N125" s="321">
        <v>0</v>
      </c>
      <c r="O125" s="321">
        <f t="shared" si="35"/>
        <v>3</v>
      </c>
      <c r="R125" s="321">
        <f t="shared" si="52"/>
        <v>3</v>
      </c>
      <c r="T125" s="321"/>
      <c r="U125" s="321">
        <f t="shared" si="36"/>
        <v>3</v>
      </c>
      <c r="X125" s="321">
        <f t="shared" si="53"/>
        <v>3</v>
      </c>
      <c r="Z125" s="321"/>
      <c r="AA125" s="321">
        <f t="shared" si="34"/>
        <v>0</v>
      </c>
      <c r="AD125" s="321">
        <f t="shared" si="54"/>
        <v>0</v>
      </c>
      <c r="AF125" s="321"/>
    </row>
    <row r="126" spans="1:32">
      <c r="B126" t="s">
        <v>765</v>
      </c>
      <c r="C126" s="321">
        <v>0</v>
      </c>
      <c r="D126" s="321">
        <v>0</v>
      </c>
      <c r="E126" s="321">
        <v>0</v>
      </c>
      <c r="F126" s="321">
        <v>0</v>
      </c>
      <c r="G126" s="321">
        <v>0</v>
      </c>
      <c r="H126" s="321">
        <v>0</v>
      </c>
      <c r="I126" s="321">
        <v>0</v>
      </c>
      <c r="J126" s="321">
        <v>0</v>
      </c>
      <c r="K126" s="321">
        <v>5</v>
      </c>
      <c r="L126" s="321">
        <v>0</v>
      </c>
      <c r="M126" s="321">
        <v>0</v>
      </c>
      <c r="N126" s="321">
        <v>0</v>
      </c>
      <c r="O126" s="321">
        <f t="shared" si="35"/>
        <v>5</v>
      </c>
      <c r="R126" s="321">
        <f t="shared" si="52"/>
        <v>5</v>
      </c>
      <c r="T126" s="321"/>
      <c r="U126" s="321">
        <f t="shared" si="36"/>
        <v>5</v>
      </c>
      <c r="X126" s="321">
        <f t="shared" si="53"/>
        <v>5</v>
      </c>
      <c r="Z126" s="321"/>
      <c r="AA126" s="321">
        <f t="shared" si="34"/>
        <v>0</v>
      </c>
      <c r="AD126" s="321">
        <f t="shared" si="54"/>
        <v>0</v>
      </c>
      <c r="AF126" s="321"/>
    </row>
    <row r="127" spans="1:32">
      <c r="A127" t="s">
        <v>807</v>
      </c>
      <c r="B127" t="s">
        <v>767</v>
      </c>
      <c r="C127" s="321">
        <v>0</v>
      </c>
      <c r="D127" s="321">
        <v>0</v>
      </c>
      <c r="E127" s="321">
        <v>0</v>
      </c>
      <c r="F127" s="321">
        <v>0</v>
      </c>
      <c r="G127" s="321">
        <v>0</v>
      </c>
      <c r="H127" s="321">
        <v>0</v>
      </c>
      <c r="I127" s="321">
        <v>0</v>
      </c>
      <c r="J127" s="321">
        <v>0</v>
      </c>
      <c r="K127" s="321">
        <v>0</v>
      </c>
      <c r="L127" s="321">
        <v>0</v>
      </c>
      <c r="M127" s="321">
        <v>0</v>
      </c>
      <c r="N127" s="321">
        <v>0</v>
      </c>
      <c r="O127" s="321">
        <f t="shared" si="35"/>
        <v>0</v>
      </c>
      <c r="R127" s="321">
        <f t="shared" si="52"/>
        <v>0</v>
      </c>
      <c r="T127" s="321"/>
      <c r="U127" s="321">
        <f t="shared" si="36"/>
        <v>0</v>
      </c>
      <c r="X127" s="321">
        <f t="shared" si="53"/>
        <v>0</v>
      </c>
      <c r="Z127" s="321"/>
      <c r="AA127" s="321">
        <f t="shared" si="34"/>
        <v>0</v>
      </c>
      <c r="AD127" s="321">
        <f t="shared" si="54"/>
        <v>0</v>
      </c>
      <c r="AF127" s="321"/>
    </row>
    <row r="128" spans="1:32">
      <c r="B128" t="s">
        <v>766</v>
      </c>
      <c r="C128" s="321">
        <v>0</v>
      </c>
      <c r="D128" s="321">
        <v>0</v>
      </c>
      <c r="E128" s="321">
        <v>0</v>
      </c>
      <c r="F128" s="321">
        <v>0</v>
      </c>
      <c r="G128" s="321">
        <v>0</v>
      </c>
      <c r="H128" s="321">
        <v>0</v>
      </c>
      <c r="I128" s="321">
        <v>0</v>
      </c>
      <c r="J128" s="321">
        <v>0</v>
      </c>
      <c r="K128" s="321">
        <v>0</v>
      </c>
      <c r="L128" s="321">
        <v>0</v>
      </c>
      <c r="M128" s="321">
        <v>0</v>
      </c>
      <c r="N128" s="321">
        <v>0</v>
      </c>
      <c r="O128" s="321">
        <f t="shared" si="35"/>
        <v>0</v>
      </c>
      <c r="R128" s="321">
        <f t="shared" si="52"/>
        <v>0</v>
      </c>
      <c r="T128" s="321"/>
      <c r="U128" s="321">
        <f t="shared" si="36"/>
        <v>0</v>
      </c>
      <c r="X128" s="321">
        <f t="shared" si="53"/>
        <v>0</v>
      </c>
      <c r="Z128" s="321"/>
      <c r="AA128" s="321">
        <f t="shared" si="34"/>
        <v>0</v>
      </c>
      <c r="AD128" s="321">
        <f t="shared" si="54"/>
        <v>0</v>
      </c>
      <c r="AF128" s="321"/>
    </row>
    <row r="129" spans="1:32">
      <c r="B129" t="s">
        <v>765</v>
      </c>
      <c r="C129" s="321">
        <v>0</v>
      </c>
      <c r="D129" s="321">
        <v>0</v>
      </c>
      <c r="E129" s="321">
        <v>0</v>
      </c>
      <c r="F129" s="321">
        <v>0</v>
      </c>
      <c r="G129" s="321">
        <v>0</v>
      </c>
      <c r="H129" s="321">
        <v>0</v>
      </c>
      <c r="I129" s="321">
        <v>0</v>
      </c>
      <c r="J129" s="321">
        <v>0</v>
      </c>
      <c r="K129" s="321">
        <v>0</v>
      </c>
      <c r="L129" s="321">
        <v>0</v>
      </c>
      <c r="M129" s="321">
        <v>0</v>
      </c>
      <c r="N129" s="321">
        <v>0</v>
      </c>
      <c r="O129" s="321">
        <f t="shared" si="35"/>
        <v>0</v>
      </c>
      <c r="R129" s="321">
        <f t="shared" si="52"/>
        <v>0</v>
      </c>
      <c r="T129" s="321"/>
      <c r="U129" s="321">
        <f t="shared" si="36"/>
        <v>0</v>
      </c>
      <c r="X129" s="321">
        <f t="shared" si="53"/>
        <v>0</v>
      </c>
      <c r="Z129" s="321"/>
      <c r="AA129" s="321">
        <f t="shared" si="34"/>
        <v>0</v>
      </c>
      <c r="AD129" s="321">
        <f t="shared" si="54"/>
        <v>0</v>
      </c>
      <c r="AF129" s="321"/>
    </row>
    <row r="130" spans="1:32">
      <c r="A130" t="s">
        <v>806</v>
      </c>
      <c r="B130" t="s">
        <v>767</v>
      </c>
      <c r="C130" s="321">
        <v>0</v>
      </c>
      <c r="D130" s="321">
        <v>0</v>
      </c>
      <c r="E130" s="321">
        <v>0</v>
      </c>
      <c r="F130" s="321">
        <v>0</v>
      </c>
      <c r="G130" s="321">
        <v>0</v>
      </c>
      <c r="H130" s="321">
        <v>0</v>
      </c>
      <c r="I130" s="321">
        <v>0</v>
      </c>
      <c r="J130" s="321">
        <v>0</v>
      </c>
      <c r="K130" s="321">
        <v>14</v>
      </c>
      <c r="L130" s="321">
        <v>0</v>
      </c>
      <c r="M130" s="321">
        <v>0</v>
      </c>
      <c r="N130" s="321">
        <v>0</v>
      </c>
      <c r="O130" s="321">
        <f t="shared" si="35"/>
        <v>14</v>
      </c>
      <c r="R130" s="321">
        <f t="shared" si="52"/>
        <v>14</v>
      </c>
      <c r="T130" s="321"/>
      <c r="U130" s="321">
        <f t="shared" si="36"/>
        <v>14</v>
      </c>
      <c r="X130" s="321">
        <f t="shared" si="53"/>
        <v>14</v>
      </c>
      <c r="Z130" s="321"/>
      <c r="AA130" s="321">
        <f t="shared" si="34"/>
        <v>0</v>
      </c>
      <c r="AD130" s="321">
        <f t="shared" si="54"/>
        <v>0</v>
      </c>
      <c r="AF130" s="321"/>
    </row>
    <row r="131" spans="1:32">
      <c r="B131" t="s">
        <v>766</v>
      </c>
      <c r="C131" s="321">
        <v>0</v>
      </c>
      <c r="D131" s="321">
        <v>0</v>
      </c>
      <c r="E131" s="321">
        <v>0</v>
      </c>
      <c r="F131" s="321">
        <v>0</v>
      </c>
      <c r="G131" s="321">
        <v>0</v>
      </c>
      <c r="H131" s="321">
        <v>0</v>
      </c>
      <c r="I131" s="321">
        <v>0</v>
      </c>
      <c r="J131" s="321">
        <v>0</v>
      </c>
      <c r="K131" s="321">
        <v>0</v>
      </c>
      <c r="L131" s="321">
        <v>0</v>
      </c>
      <c r="M131" s="321">
        <v>0</v>
      </c>
      <c r="N131" s="321">
        <v>0</v>
      </c>
      <c r="O131" s="321">
        <f t="shared" si="35"/>
        <v>0</v>
      </c>
      <c r="R131" s="321">
        <f t="shared" si="52"/>
        <v>0</v>
      </c>
      <c r="T131" s="321"/>
      <c r="U131" s="321">
        <f t="shared" si="36"/>
        <v>0</v>
      </c>
      <c r="X131" s="321">
        <f t="shared" si="53"/>
        <v>0</v>
      </c>
      <c r="Z131" s="321"/>
      <c r="AA131" s="321">
        <f t="shared" si="34"/>
        <v>0</v>
      </c>
      <c r="AD131" s="321">
        <f t="shared" si="54"/>
        <v>0</v>
      </c>
      <c r="AF131" s="321"/>
    </row>
    <row r="132" spans="1:32">
      <c r="B132" t="s">
        <v>765</v>
      </c>
      <c r="C132" s="321">
        <v>0</v>
      </c>
      <c r="D132" s="321">
        <v>0</v>
      </c>
      <c r="E132" s="321">
        <v>0</v>
      </c>
      <c r="F132" s="321">
        <v>0</v>
      </c>
      <c r="G132" s="321">
        <v>0</v>
      </c>
      <c r="H132" s="321">
        <v>0</v>
      </c>
      <c r="I132" s="321">
        <v>0</v>
      </c>
      <c r="J132" s="321">
        <v>0</v>
      </c>
      <c r="K132" s="321">
        <v>3</v>
      </c>
      <c r="L132" s="321">
        <v>0</v>
      </c>
      <c r="M132" s="321">
        <v>0</v>
      </c>
      <c r="N132" s="321">
        <v>0</v>
      </c>
      <c r="O132" s="321">
        <f t="shared" si="35"/>
        <v>3</v>
      </c>
      <c r="R132" s="321">
        <f t="shared" si="52"/>
        <v>3</v>
      </c>
      <c r="T132" s="321"/>
      <c r="U132" s="321">
        <f t="shared" si="36"/>
        <v>3</v>
      </c>
      <c r="X132" s="321">
        <f t="shared" si="53"/>
        <v>3</v>
      </c>
      <c r="Z132" s="321"/>
      <c r="AA132" s="321">
        <f t="shared" si="34"/>
        <v>0</v>
      </c>
      <c r="AD132" s="321">
        <f t="shared" si="54"/>
        <v>0</v>
      </c>
      <c r="AF132" s="321"/>
    </row>
    <row r="133" spans="1:32">
      <c r="A133" t="s">
        <v>805</v>
      </c>
      <c r="B133" t="s">
        <v>767</v>
      </c>
      <c r="C133" s="321">
        <v>0</v>
      </c>
      <c r="D133" s="321">
        <v>0</v>
      </c>
      <c r="E133" s="321">
        <v>0</v>
      </c>
      <c r="F133" s="321">
        <v>0</v>
      </c>
      <c r="G133" s="321">
        <v>0</v>
      </c>
      <c r="H133" s="321">
        <v>0</v>
      </c>
      <c r="I133" s="321">
        <v>0</v>
      </c>
      <c r="J133" s="321">
        <v>0</v>
      </c>
      <c r="K133" s="321">
        <v>5</v>
      </c>
      <c r="L133" s="321">
        <v>0</v>
      </c>
      <c r="M133" s="321">
        <v>0</v>
      </c>
      <c r="N133" s="321">
        <v>0</v>
      </c>
      <c r="O133" s="321">
        <f t="shared" si="35"/>
        <v>5</v>
      </c>
      <c r="R133" s="321">
        <f t="shared" si="52"/>
        <v>5</v>
      </c>
      <c r="T133" s="321"/>
      <c r="U133" s="321">
        <f t="shared" si="36"/>
        <v>5</v>
      </c>
      <c r="X133" s="321">
        <f t="shared" si="53"/>
        <v>5</v>
      </c>
      <c r="Z133" s="321"/>
      <c r="AA133" s="321">
        <f t="shared" si="34"/>
        <v>0</v>
      </c>
      <c r="AD133" s="321">
        <f t="shared" si="54"/>
        <v>0</v>
      </c>
      <c r="AF133" s="321"/>
    </row>
    <row r="134" spans="1:32">
      <c r="B134" t="s">
        <v>766</v>
      </c>
      <c r="C134" s="321">
        <v>0</v>
      </c>
      <c r="D134" s="321">
        <v>0</v>
      </c>
      <c r="E134" s="321">
        <v>0</v>
      </c>
      <c r="F134" s="321">
        <v>0</v>
      </c>
      <c r="G134" s="321">
        <v>0</v>
      </c>
      <c r="H134" s="321">
        <v>0</v>
      </c>
      <c r="I134" s="321">
        <v>0</v>
      </c>
      <c r="J134" s="321">
        <v>0</v>
      </c>
      <c r="K134" s="321">
        <v>0</v>
      </c>
      <c r="L134" s="321">
        <v>0</v>
      </c>
      <c r="M134" s="321">
        <v>0</v>
      </c>
      <c r="N134" s="321">
        <v>0</v>
      </c>
      <c r="O134" s="321">
        <f t="shared" si="35"/>
        <v>0</v>
      </c>
      <c r="R134" s="321">
        <f t="shared" si="52"/>
        <v>0</v>
      </c>
      <c r="T134" s="321"/>
      <c r="U134" s="321">
        <f t="shared" si="36"/>
        <v>0</v>
      </c>
      <c r="X134" s="321">
        <f t="shared" si="53"/>
        <v>0</v>
      </c>
      <c r="Z134" s="321"/>
      <c r="AA134" s="321">
        <f t="shared" si="34"/>
        <v>0</v>
      </c>
      <c r="AD134" s="321">
        <f t="shared" si="54"/>
        <v>0</v>
      </c>
      <c r="AF134" s="321"/>
    </row>
    <row r="135" spans="1:32">
      <c r="B135" t="s">
        <v>765</v>
      </c>
      <c r="C135" s="321">
        <v>0</v>
      </c>
      <c r="D135" s="321">
        <v>0</v>
      </c>
      <c r="E135" s="321">
        <v>0</v>
      </c>
      <c r="F135" s="321">
        <v>0</v>
      </c>
      <c r="G135" s="321">
        <v>0</v>
      </c>
      <c r="H135" s="321">
        <v>0</v>
      </c>
      <c r="I135" s="321">
        <v>0</v>
      </c>
      <c r="J135" s="321">
        <v>0</v>
      </c>
      <c r="K135" s="321">
        <v>3</v>
      </c>
      <c r="L135" s="321">
        <v>0</v>
      </c>
      <c r="M135" s="321">
        <v>0</v>
      </c>
      <c r="N135" s="321">
        <v>0</v>
      </c>
      <c r="O135" s="321">
        <f t="shared" si="35"/>
        <v>3</v>
      </c>
      <c r="R135" s="321">
        <f t="shared" si="52"/>
        <v>3</v>
      </c>
      <c r="T135" s="321"/>
      <c r="U135" s="321">
        <f t="shared" si="36"/>
        <v>3</v>
      </c>
      <c r="X135" s="321">
        <f t="shared" si="53"/>
        <v>3</v>
      </c>
      <c r="Z135" s="321"/>
      <c r="AA135" s="321">
        <f t="shared" si="34"/>
        <v>0</v>
      </c>
      <c r="AD135" s="321">
        <f t="shared" si="54"/>
        <v>0</v>
      </c>
      <c r="AF135" s="321"/>
    </row>
    <row r="136" spans="1:32">
      <c r="A136" t="s">
        <v>804</v>
      </c>
      <c r="B136" t="s">
        <v>767</v>
      </c>
      <c r="C136" s="321">
        <v>0</v>
      </c>
      <c r="D136" s="321">
        <v>0</v>
      </c>
      <c r="E136" s="321">
        <v>0</v>
      </c>
      <c r="F136" s="321">
        <v>0</v>
      </c>
      <c r="G136" s="321">
        <v>0</v>
      </c>
      <c r="H136" s="321">
        <v>0</v>
      </c>
      <c r="I136" s="321">
        <v>0</v>
      </c>
      <c r="J136" s="321">
        <v>0</v>
      </c>
      <c r="K136" s="321">
        <v>0</v>
      </c>
      <c r="L136" s="321">
        <v>0</v>
      </c>
      <c r="M136" s="321">
        <v>0</v>
      </c>
      <c r="N136" s="321">
        <v>0</v>
      </c>
      <c r="O136" s="321">
        <f t="shared" si="35"/>
        <v>0</v>
      </c>
      <c r="R136" s="321">
        <f t="shared" si="52"/>
        <v>0</v>
      </c>
      <c r="T136" s="321"/>
      <c r="U136" s="321">
        <f t="shared" si="36"/>
        <v>0</v>
      </c>
      <c r="X136" s="321">
        <f t="shared" si="53"/>
        <v>0</v>
      </c>
      <c r="Z136" s="321"/>
      <c r="AA136" s="321">
        <f t="shared" ref="AA136:AA199" si="55">+N136</f>
        <v>0</v>
      </c>
      <c r="AD136" s="321">
        <f t="shared" si="54"/>
        <v>0</v>
      </c>
      <c r="AF136" s="321"/>
    </row>
    <row r="137" spans="1:32">
      <c r="B137" t="s">
        <v>766</v>
      </c>
      <c r="C137" s="321">
        <v>0</v>
      </c>
      <c r="D137" s="321">
        <v>0</v>
      </c>
      <c r="E137" s="321">
        <v>0</v>
      </c>
      <c r="F137" s="321">
        <v>0</v>
      </c>
      <c r="G137" s="321">
        <v>0</v>
      </c>
      <c r="H137" s="321">
        <v>0</v>
      </c>
      <c r="I137" s="321">
        <v>0</v>
      </c>
      <c r="J137" s="321">
        <v>0</v>
      </c>
      <c r="K137" s="321">
        <v>0</v>
      </c>
      <c r="L137" s="321">
        <v>0</v>
      </c>
      <c r="M137" s="321">
        <v>0</v>
      </c>
      <c r="N137" s="321">
        <v>0</v>
      </c>
      <c r="O137" s="321">
        <f t="shared" si="35"/>
        <v>0</v>
      </c>
      <c r="R137" s="321">
        <f t="shared" si="52"/>
        <v>0</v>
      </c>
      <c r="T137" s="321"/>
      <c r="U137" s="321">
        <f t="shared" si="36"/>
        <v>0</v>
      </c>
      <c r="X137" s="321">
        <f t="shared" si="53"/>
        <v>0</v>
      </c>
      <c r="Z137" s="321"/>
      <c r="AA137" s="321">
        <f t="shared" si="55"/>
        <v>0</v>
      </c>
      <c r="AD137" s="321">
        <f t="shared" si="54"/>
        <v>0</v>
      </c>
      <c r="AF137" s="321"/>
    </row>
    <row r="138" spans="1:32">
      <c r="B138" t="s">
        <v>765</v>
      </c>
      <c r="C138" s="321">
        <v>0</v>
      </c>
      <c r="D138" s="321">
        <v>0</v>
      </c>
      <c r="E138" s="321">
        <v>0</v>
      </c>
      <c r="F138" s="321">
        <v>0</v>
      </c>
      <c r="G138" s="321">
        <v>0</v>
      </c>
      <c r="H138" s="321">
        <v>0</v>
      </c>
      <c r="I138" s="321">
        <v>0</v>
      </c>
      <c r="J138" s="321">
        <v>0</v>
      </c>
      <c r="K138" s="321">
        <v>0</v>
      </c>
      <c r="L138" s="321">
        <v>0</v>
      </c>
      <c r="M138" s="321">
        <v>0</v>
      </c>
      <c r="N138" s="321">
        <v>0</v>
      </c>
      <c r="O138" s="321">
        <f t="shared" ref="O138:O204" si="56">SUM(C138:N138)</f>
        <v>0</v>
      </c>
      <c r="R138" s="321">
        <f t="shared" si="52"/>
        <v>0</v>
      </c>
      <c r="T138" s="321"/>
      <c r="U138" s="321">
        <f t="shared" si="36"/>
        <v>0</v>
      </c>
      <c r="X138" s="321">
        <f t="shared" si="53"/>
        <v>0</v>
      </c>
      <c r="Z138" s="321"/>
      <c r="AA138" s="321">
        <f t="shared" si="55"/>
        <v>0</v>
      </c>
      <c r="AD138" s="321">
        <f t="shared" si="54"/>
        <v>0</v>
      </c>
      <c r="AF138" s="321"/>
    </row>
    <row r="139" spans="1:32">
      <c r="A139" t="s">
        <v>803</v>
      </c>
      <c r="B139" t="s">
        <v>767</v>
      </c>
      <c r="C139" s="321">
        <v>0</v>
      </c>
      <c r="D139" s="321">
        <v>0</v>
      </c>
      <c r="E139" s="321">
        <v>0</v>
      </c>
      <c r="F139" s="321">
        <v>0</v>
      </c>
      <c r="G139" s="321">
        <v>0</v>
      </c>
      <c r="H139" s="321">
        <v>0</v>
      </c>
      <c r="I139" s="321">
        <v>0</v>
      </c>
      <c r="J139" s="321">
        <v>0</v>
      </c>
      <c r="K139" s="321">
        <v>32</v>
      </c>
      <c r="L139" s="321">
        <v>0</v>
      </c>
      <c r="M139" s="321">
        <v>0</v>
      </c>
      <c r="N139" s="321">
        <v>0</v>
      </c>
      <c r="O139" s="321">
        <f t="shared" si="56"/>
        <v>32</v>
      </c>
      <c r="R139" s="321">
        <f t="shared" si="52"/>
        <v>32</v>
      </c>
      <c r="T139" s="321"/>
      <c r="U139" s="321">
        <f t="shared" ref="U139:U202" si="57">+K139</f>
        <v>32</v>
      </c>
      <c r="X139" s="321">
        <f t="shared" si="53"/>
        <v>32</v>
      </c>
      <c r="Z139" s="321"/>
      <c r="AA139" s="321">
        <f t="shared" si="55"/>
        <v>0</v>
      </c>
      <c r="AD139" s="321">
        <f t="shared" si="54"/>
        <v>0</v>
      </c>
      <c r="AF139" s="321"/>
    </row>
    <row r="140" spans="1:32">
      <c r="B140" t="s">
        <v>766</v>
      </c>
      <c r="C140" s="321">
        <v>0</v>
      </c>
      <c r="D140" s="321">
        <v>0</v>
      </c>
      <c r="E140" s="321">
        <v>0</v>
      </c>
      <c r="F140" s="321">
        <v>0</v>
      </c>
      <c r="G140" s="321">
        <v>0</v>
      </c>
      <c r="H140" s="321">
        <v>0</v>
      </c>
      <c r="I140" s="321">
        <v>0</v>
      </c>
      <c r="J140" s="321">
        <v>0</v>
      </c>
      <c r="K140" s="321">
        <v>0</v>
      </c>
      <c r="L140" s="321">
        <v>0</v>
      </c>
      <c r="M140" s="321">
        <v>0</v>
      </c>
      <c r="N140" s="321">
        <v>0</v>
      </c>
      <c r="O140" s="321">
        <f t="shared" si="56"/>
        <v>0</v>
      </c>
      <c r="R140" s="321">
        <f t="shared" si="52"/>
        <v>0</v>
      </c>
      <c r="T140" s="321"/>
      <c r="U140" s="321">
        <f t="shared" si="57"/>
        <v>0</v>
      </c>
      <c r="X140" s="321">
        <f t="shared" si="53"/>
        <v>0</v>
      </c>
      <c r="Z140" s="321"/>
      <c r="AA140" s="321">
        <f t="shared" si="55"/>
        <v>0</v>
      </c>
      <c r="AD140" s="321">
        <f t="shared" si="54"/>
        <v>0</v>
      </c>
      <c r="AF140" s="321"/>
    </row>
    <row r="141" spans="1:32">
      <c r="B141" t="s">
        <v>765</v>
      </c>
      <c r="C141" s="321">
        <v>0</v>
      </c>
      <c r="D141" s="321">
        <v>0</v>
      </c>
      <c r="E141" s="321">
        <v>0</v>
      </c>
      <c r="F141" s="321">
        <v>0</v>
      </c>
      <c r="G141" s="321">
        <v>0</v>
      </c>
      <c r="H141" s="321">
        <v>0</v>
      </c>
      <c r="I141" s="321">
        <v>0</v>
      </c>
      <c r="J141" s="321">
        <v>0</v>
      </c>
      <c r="K141" s="321">
        <v>0</v>
      </c>
      <c r="L141" s="321">
        <v>0</v>
      </c>
      <c r="M141" s="321">
        <v>0</v>
      </c>
      <c r="N141" s="321">
        <v>0</v>
      </c>
      <c r="O141" s="321">
        <f t="shared" si="56"/>
        <v>0</v>
      </c>
      <c r="R141" s="321">
        <f t="shared" si="52"/>
        <v>0</v>
      </c>
      <c r="T141" s="321"/>
      <c r="U141" s="321">
        <f t="shared" si="57"/>
        <v>0</v>
      </c>
      <c r="X141" s="321">
        <f t="shared" si="53"/>
        <v>0</v>
      </c>
      <c r="Z141" s="321"/>
      <c r="AA141" s="321">
        <f t="shared" si="55"/>
        <v>0</v>
      </c>
      <c r="AD141" s="321">
        <f t="shared" si="54"/>
        <v>0</v>
      </c>
      <c r="AF141" s="321"/>
    </row>
    <row r="142" spans="1:32">
      <c r="A142" t="s">
        <v>802</v>
      </c>
      <c r="B142" t="s">
        <v>767</v>
      </c>
      <c r="C142" s="321">
        <v>0</v>
      </c>
      <c r="D142" s="321">
        <v>0</v>
      </c>
      <c r="E142" s="321">
        <v>0</v>
      </c>
      <c r="F142" s="321">
        <v>0</v>
      </c>
      <c r="G142" s="321">
        <v>0</v>
      </c>
      <c r="H142" s="321">
        <v>0</v>
      </c>
      <c r="I142" s="321">
        <v>0</v>
      </c>
      <c r="J142" s="321">
        <v>0</v>
      </c>
      <c r="K142" s="321">
        <v>26</v>
      </c>
      <c r="L142" s="321">
        <v>0</v>
      </c>
      <c r="M142" s="321">
        <v>0</v>
      </c>
      <c r="N142" s="321">
        <v>0</v>
      </c>
      <c r="O142" s="321">
        <f t="shared" si="56"/>
        <v>26</v>
      </c>
      <c r="R142" s="321">
        <f t="shared" si="52"/>
        <v>26</v>
      </c>
      <c r="T142" s="321"/>
      <c r="U142" s="321">
        <f t="shared" si="57"/>
        <v>26</v>
      </c>
      <c r="X142" s="321">
        <f t="shared" si="53"/>
        <v>26</v>
      </c>
      <c r="Z142" s="321"/>
      <c r="AA142" s="321">
        <f t="shared" si="55"/>
        <v>0</v>
      </c>
      <c r="AD142" s="321">
        <f t="shared" si="54"/>
        <v>0</v>
      </c>
      <c r="AF142" s="321"/>
    </row>
    <row r="143" spans="1:32">
      <c r="B143" t="s">
        <v>766</v>
      </c>
      <c r="C143" s="321">
        <v>0</v>
      </c>
      <c r="D143" s="321">
        <v>0</v>
      </c>
      <c r="E143" s="321">
        <v>0</v>
      </c>
      <c r="F143" s="321">
        <v>0</v>
      </c>
      <c r="G143" s="321">
        <v>0</v>
      </c>
      <c r="H143" s="321">
        <v>0</v>
      </c>
      <c r="I143" s="321">
        <v>0</v>
      </c>
      <c r="J143" s="321">
        <v>0</v>
      </c>
      <c r="K143" s="321">
        <v>2</v>
      </c>
      <c r="L143" s="321">
        <v>0</v>
      </c>
      <c r="M143" s="321">
        <v>0</v>
      </c>
      <c r="N143" s="321">
        <v>0</v>
      </c>
      <c r="O143" s="321">
        <f t="shared" si="56"/>
        <v>2</v>
      </c>
      <c r="R143" s="321">
        <f t="shared" si="52"/>
        <v>2</v>
      </c>
      <c r="T143" s="321"/>
      <c r="U143" s="321">
        <f t="shared" si="57"/>
        <v>2</v>
      </c>
      <c r="X143" s="321">
        <f t="shared" si="53"/>
        <v>2</v>
      </c>
      <c r="Z143" s="321"/>
      <c r="AA143" s="321">
        <f t="shared" si="55"/>
        <v>0</v>
      </c>
      <c r="AD143" s="321">
        <f t="shared" si="54"/>
        <v>0</v>
      </c>
      <c r="AF143" s="321"/>
    </row>
    <row r="144" spans="1:32">
      <c r="B144" t="s">
        <v>765</v>
      </c>
      <c r="C144" s="321">
        <v>0</v>
      </c>
      <c r="D144" s="321">
        <v>0</v>
      </c>
      <c r="E144" s="321">
        <v>0</v>
      </c>
      <c r="F144" s="321">
        <v>0</v>
      </c>
      <c r="G144" s="321">
        <v>0</v>
      </c>
      <c r="H144" s="321">
        <v>0</v>
      </c>
      <c r="I144" s="321">
        <v>0</v>
      </c>
      <c r="J144" s="321">
        <v>0</v>
      </c>
      <c r="K144" s="321">
        <v>5</v>
      </c>
      <c r="L144" s="321">
        <v>0</v>
      </c>
      <c r="M144" s="321">
        <v>0</v>
      </c>
      <c r="N144" s="321">
        <v>0</v>
      </c>
      <c r="O144" s="321">
        <f t="shared" si="56"/>
        <v>5</v>
      </c>
      <c r="R144" s="321">
        <f t="shared" si="52"/>
        <v>5</v>
      </c>
      <c r="T144" s="321"/>
      <c r="U144" s="321">
        <f t="shared" si="57"/>
        <v>5</v>
      </c>
      <c r="X144" s="321">
        <f t="shared" si="53"/>
        <v>5</v>
      </c>
      <c r="Z144" s="321"/>
      <c r="AA144" s="321">
        <f t="shared" si="55"/>
        <v>0</v>
      </c>
      <c r="AD144" s="321">
        <f t="shared" si="54"/>
        <v>0</v>
      </c>
      <c r="AF144" s="321"/>
    </row>
    <row r="145" spans="1:32">
      <c r="A145" t="s">
        <v>801</v>
      </c>
      <c r="B145" t="s">
        <v>767</v>
      </c>
      <c r="C145" s="321">
        <v>0</v>
      </c>
      <c r="D145" s="321">
        <v>0</v>
      </c>
      <c r="E145" s="321">
        <v>0</v>
      </c>
      <c r="F145" s="321">
        <v>0</v>
      </c>
      <c r="G145" s="321">
        <v>0</v>
      </c>
      <c r="H145" s="321">
        <v>0</v>
      </c>
      <c r="I145" s="321">
        <v>0</v>
      </c>
      <c r="J145" s="321">
        <v>0</v>
      </c>
      <c r="K145" s="321">
        <v>42</v>
      </c>
      <c r="L145" s="321">
        <v>0</v>
      </c>
      <c r="M145" s="321">
        <v>0</v>
      </c>
      <c r="N145" s="321">
        <v>0</v>
      </c>
      <c r="O145" s="321">
        <f t="shared" si="56"/>
        <v>42</v>
      </c>
      <c r="R145" s="321">
        <f t="shared" si="52"/>
        <v>42</v>
      </c>
      <c r="T145" s="321"/>
      <c r="U145" s="321">
        <f t="shared" si="57"/>
        <v>42</v>
      </c>
      <c r="X145" s="321">
        <f t="shared" si="53"/>
        <v>42</v>
      </c>
      <c r="Z145" s="321"/>
      <c r="AA145" s="321">
        <f t="shared" si="55"/>
        <v>0</v>
      </c>
      <c r="AD145" s="321">
        <f t="shared" si="54"/>
        <v>0</v>
      </c>
      <c r="AF145" s="321"/>
    </row>
    <row r="146" spans="1:32">
      <c r="B146" t="s">
        <v>766</v>
      </c>
      <c r="C146" s="321">
        <v>0</v>
      </c>
      <c r="D146" s="321">
        <v>0</v>
      </c>
      <c r="E146" s="321">
        <v>0</v>
      </c>
      <c r="F146" s="321">
        <v>0</v>
      </c>
      <c r="G146" s="321">
        <v>0</v>
      </c>
      <c r="H146" s="321">
        <v>0</v>
      </c>
      <c r="I146" s="321">
        <v>0</v>
      </c>
      <c r="J146" s="321">
        <v>0</v>
      </c>
      <c r="K146" s="321">
        <v>8</v>
      </c>
      <c r="L146" s="321">
        <v>0</v>
      </c>
      <c r="M146" s="321">
        <v>0</v>
      </c>
      <c r="N146" s="321">
        <v>0</v>
      </c>
      <c r="O146" s="321">
        <f t="shared" si="56"/>
        <v>8</v>
      </c>
      <c r="R146" s="321">
        <f t="shared" si="52"/>
        <v>8</v>
      </c>
      <c r="T146" s="321"/>
      <c r="U146" s="321">
        <f t="shared" si="57"/>
        <v>8</v>
      </c>
      <c r="X146" s="321">
        <f t="shared" si="53"/>
        <v>8</v>
      </c>
      <c r="Z146" s="321"/>
      <c r="AA146" s="321">
        <f t="shared" si="55"/>
        <v>0</v>
      </c>
      <c r="AD146" s="321">
        <f t="shared" si="54"/>
        <v>0</v>
      </c>
      <c r="AF146" s="321"/>
    </row>
    <row r="147" spans="1:32">
      <c r="B147" t="s">
        <v>765</v>
      </c>
      <c r="C147" s="321">
        <v>0</v>
      </c>
      <c r="D147" s="321">
        <v>0</v>
      </c>
      <c r="E147" s="321">
        <v>0</v>
      </c>
      <c r="F147" s="321">
        <v>0</v>
      </c>
      <c r="G147" s="321">
        <v>0</v>
      </c>
      <c r="H147" s="321">
        <v>0</v>
      </c>
      <c r="I147" s="321">
        <v>0</v>
      </c>
      <c r="J147" s="321">
        <v>0</v>
      </c>
      <c r="K147" s="321">
        <v>3</v>
      </c>
      <c r="L147" s="321">
        <v>0</v>
      </c>
      <c r="M147" s="321">
        <v>0</v>
      </c>
      <c r="N147" s="321">
        <v>0</v>
      </c>
      <c r="O147" s="321">
        <f t="shared" si="56"/>
        <v>3</v>
      </c>
      <c r="R147" s="321">
        <f t="shared" si="52"/>
        <v>3</v>
      </c>
      <c r="T147" s="321"/>
      <c r="U147" s="321">
        <f t="shared" si="57"/>
        <v>3</v>
      </c>
      <c r="X147" s="321">
        <f t="shared" si="53"/>
        <v>3</v>
      </c>
      <c r="Z147" s="321"/>
      <c r="AA147" s="321">
        <f t="shared" si="55"/>
        <v>0</v>
      </c>
      <c r="AD147" s="321">
        <f t="shared" si="54"/>
        <v>0</v>
      </c>
      <c r="AF147" s="321"/>
    </row>
    <row r="148" spans="1:32">
      <c r="A148" t="s">
        <v>800</v>
      </c>
      <c r="B148" t="s">
        <v>767</v>
      </c>
      <c r="C148" s="321">
        <v>0</v>
      </c>
      <c r="D148" s="321">
        <v>0</v>
      </c>
      <c r="E148" s="321">
        <v>0</v>
      </c>
      <c r="F148" s="321">
        <v>0</v>
      </c>
      <c r="G148" s="321">
        <v>0</v>
      </c>
      <c r="H148" s="321">
        <v>0</v>
      </c>
      <c r="I148" s="321">
        <v>0</v>
      </c>
      <c r="J148" s="321">
        <v>0</v>
      </c>
      <c r="K148" s="321">
        <v>0</v>
      </c>
      <c r="L148" s="321">
        <v>0</v>
      </c>
      <c r="M148" s="321">
        <v>0</v>
      </c>
      <c r="N148" s="321">
        <v>0</v>
      </c>
      <c r="O148" s="321">
        <f t="shared" si="56"/>
        <v>0</v>
      </c>
      <c r="R148" s="321">
        <f t="shared" si="52"/>
        <v>0</v>
      </c>
      <c r="T148" s="321"/>
      <c r="U148" s="321">
        <f t="shared" si="57"/>
        <v>0</v>
      </c>
      <c r="X148" s="321">
        <f t="shared" si="53"/>
        <v>0</v>
      </c>
      <c r="Z148" s="321"/>
      <c r="AA148" s="321">
        <f t="shared" si="55"/>
        <v>0</v>
      </c>
      <c r="AD148" s="321">
        <f t="shared" si="54"/>
        <v>0</v>
      </c>
      <c r="AF148" s="321"/>
    </row>
    <row r="149" spans="1:32">
      <c r="B149" t="s">
        <v>766</v>
      </c>
      <c r="C149" s="321">
        <v>0</v>
      </c>
      <c r="D149" s="321">
        <v>0</v>
      </c>
      <c r="E149" s="321">
        <v>0</v>
      </c>
      <c r="F149" s="321">
        <v>0</v>
      </c>
      <c r="G149" s="321">
        <v>0</v>
      </c>
      <c r="H149" s="321">
        <v>0</v>
      </c>
      <c r="I149" s="321">
        <v>0</v>
      </c>
      <c r="J149" s="321">
        <v>0</v>
      </c>
      <c r="K149" s="321">
        <v>0</v>
      </c>
      <c r="L149" s="321">
        <v>0</v>
      </c>
      <c r="M149" s="321">
        <v>0</v>
      </c>
      <c r="N149" s="321">
        <v>0</v>
      </c>
      <c r="O149" s="321">
        <f t="shared" si="56"/>
        <v>0</v>
      </c>
      <c r="R149" s="321">
        <f t="shared" si="52"/>
        <v>0</v>
      </c>
      <c r="T149" s="321"/>
      <c r="U149" s="321">
        <f t="shared" si="57"/>
        <v>0</v>
      </c>
      <c r="X149" s="321">
        <f t="shared" si="53"/>
        <v>0</v>
      </c>
      <c r="Z149" s="321"/>
      <c r="AA149" s="321">
        <f t="shared" si="55"/>
        <v>0</v>
      </c>
      <c r="AD149" s="321">
        <f t="shared" si="54"/>
        <v>0</v>
      </c>
      <c r="AF149" s="321"/>
    </row>
    <row r="150" spans="1:32">
      <c r="B150" t="s">
        <v>765</v>
      </c>
      <c r="C150" s="321">
        <v>0</v>
      </c>
      <c r="D150" s="321">
        <v>0</v>
      </c>
      <c r="E150" s="321">
        <v>0</v>
      </c>
      <c r="F150" s="321">
        <v>0</v>
      </c>
      <c r="G150" s="321">
        <v>0</v>
      </c>
      <c r="H150" s="321">
        <v>0</v>
      </c>
      <c r="I150" s="321">
        <v>0</v>
      </c>
      <c r="J150" s="321">
        <v>0</v>
      </c>
      <c r="K150" s="321">
        <v>0</v>
      </c>
      <c r="L150" s="321">
        <v>0</v>
      </c>
      <c r="M150" s="321">
        <v>0</v>
      </c>
      <c r="N150" s="321">
        <v>0</v>
      </c>
      <c r="O150" s="321">
        <f t="shared" si="56"/>
        <v>0</v>
      </c>
      <c r="R150" s="321">
        <f t="shared" ref="R150:R181" si="58">+O150+Q150</f>
        <v>0</v>
      </c>
      <c r="T150" s="321"/>
      <c r="U150" s="321">
        <f t="shared" si="57"/>
        <v>0</v>
      </c>
      <c r="X150" s="321">
        <f t="shared" ref="X150:X181" si="59">+U150+W150</f>
        <v>0</v>
      </c>
      <c r="Z150" s="321"/>
      <c r="AA150" s="321">
        <f t="shared" si="55"/>
        <v>0</v>
      </c>
      <c r="AD150" s="321">
        <f t="shared" ref="AD150:AD181" si="60">+AA150+AC150</f>
        <v>0</v>
      </c>
      <c r="AF150" s="321"/>
    </row>
    <row r="151" spans="1:32">
      <c r="A151" t="s">
        <v>799</v>
      </c>
      <c r="B151" t="s">
        <v>767</v>
      </c>
      <c r="C151" s="321">
        <v>0</v>
      </c>
      <c r="D151" s="321">
        <v>0</v>
      </c>
      <c r="E151" s="321">
        <v>0</v>
      </c>
      <c r="F151" s="321">
        <v>0</v>
      </c>
      <c r="G151" s="321">
        <v>0</v>
      </c>
      <c r="H151" s="321">
        <v>0</v>
      </c>
      <c r="I151" s="321">
        <v>0</v>
      </c>
      <c r="J151" s="321">
        <v>0</v>
      </c>
      <c r="K151" s="321">
        <v>104.5</v>
      </c>
      <c r="L151" s="321">
        <v>0</v>
      </c>
      <c r="M151" s="321">
        <v>0</v>
      </c>
      <c r="N151" s="321">
        <v>0</v>
      </c>
      <c r="O151" s="321">
        <f t="shared" si="56"/>
        <v>104.5</v>
      </c>
      <c r="R151" s="321">
        <f t="shared" si="58"/>
        <v>104.5</v>
      </c>
      <c r="T151" s="321"/>
      <c r="U151" s="321">
        <f t="shared" si="57"/>
        <v>104.5</v>
      </c>
      <c r="X151" s="321">
        <f t="shared" si="59"/>
        <v>104.5</v>
      </c>
      <c r="Z151" s="321"/>
      <c r="AA151" s="321">
        <f t="shared" si="55"/>
        <v>0</v>
      </c>
      <c r="AD151" s="321">
        <f t="shared" si="60"/>
        <v>0</v>
      </c>
      <c r="AF151" s="321"/>
    </row>
    <row r="152" spans="1:32">
      <c r="B152" t="s">
        <v>766</v>
      </c>
      <c r="C152" s="321">
        <v>0</v>
      </c>
      <c r="D152" s="321">
        <v>0</v>
      </c>
      <c r="E152" s="321">
        <v>0</v>
      </c>
      <c r="F152" s="321">
        <v>0</v>
      </c>
      <c r="G152" s="321">
        <v>0</v>
      </c>
      <c r="H152" s="321">
        <v>0</v>
      </c>
      <c r="I152" s="321">
        <v>0</v>
      </c>
      <c r="J152" s="321">
        <v>0</v>
      </c>
      <c r="K152" s="321">
        <v>6.25</v>
      </c>
      <c r="L152" s="321">
        <v>0</v>
      </c>
      <c r="M152" s="321">
        <v>0</v>
      </c>
      <c r="N152" s="321">
        <v>0</v>
      </c>
      <c r="O152" s="321">
        <f t="shared" si="56"/>
        <v>6.25</v>
      </c>
      <c r="R152" s="321">
        <f t="shared" si="58"/>
        <v>6.25</v>
      </c>
      <c r="T152" s="321"/>
      <c r="U152" s="321">
        <f t="shared" si="57"/>
        <v>6.25</v>
      </c>
      <c r="X152" s="321">
        <f t="shared" si="59"/>
        <v>6.25</v>
      </c>
      <c r="Z152" s="321"/>
      <c r="AA152" s="321">
        <f t="shared" si="55"/>
        <v>0</v>
      </c>
      <c r="AD152" s="321">
        <f t="shared" si="60"/>
        <v>0</v>
      </c>
      <c r="AF152" s="321"/>
    </row>
    <row r="153" spans="1:32">
      <c r="B153" t="s">
        <v>765</v>
      </c>
      <c r="C153" s="321">
        <v>0</v>
      </c>
      <c r="D153" s="321">
        <v>0</v>
      </c>
      <c r="E153" s="321">
        <v>0</v>
      </c>
      <c r="F153" s="321">
        <v>0</v>
      </c>
      <c r="G153" s="321">
        <v>0</v>
      </c>
      <c r="H153" s="321">
        <v>0</v>
      </c>
      <c r="I153" s="321">
        <v>0</v>
      </c>
      <c r="J153" s="321">
        <v>0</v>
      </c>
      <c r="K153" s="321">
        <v>0</v>
      </c>
      <c r="L153" s="321">
        <v>0</v>
      </c>
      <c r="M153" s="321">
        <v>0</v>
      </c>
      <c r="N153" s="321">
        <v>0</v>
      </c>
      <c r="O153" s="321">
        <f t="shared" si="56"/>
        <v>0</v>
      </c>
      <c r="R153" s="321">
        <f t="shared" si="58"/>
        <v>0</v>
      </c>
      <c r="T153" s="321"/>
      <c r="U153" s="321">
        <f t="shared" si="57"/>
        <v>0</v>
      </c>
      <c r="X153" s="321">
        <f t="shared" si="59"/>
        <v>0</v>
      </c>
      <c r="Z153" s="321"/>
      <c r="AA153" s="321">
        <f t="shared" si="55"/>
        <v>0</v>
      </c>
      <c r="AD153" s="321">
        <f t="shared" si="60"/>
        <v>0</v>
      </c>
      <c r="AF153" s="321"/>
    </row>
    <row r="154" spans="1:32">
      <c r="A154" t="s">
        <v>798</v>
      </c>
      <c r="B154" t="s">
        <v>767</v>
      </c>
      <c r="C154" s="321">
        <v>0</v>
      </c>
      <c r="D154" s="321">
        <v>0</v>
      </c>
      <c r="E154" s="321">
        <v>0</v>
      </c>
      <c r="F154" s="321">
        <v>0</v>
      </c>
      <c r="G154" s="321">
        <v>0</v>
      </c>
      <c r="H154" s="321">
        <v>0</v>
      </c>
      <c r="I154" s="321">
        <v>0</v>
      </c>
      <c r="J154" s="321">
        <v>0</v>
      </c>
      <c r="K154" s="321">
        <v>0</v>
      </c>
      <c r="L154" s="321">
        <v>0</v>
      </c>
      <c r="M154" s="321">
        <v>0</v>
      </c>
      <c r="N154" s="321">
        <v>0</v>
      </c>
      <c r="O154" s="321">
        <f t="shared" si="56"/>
        <v>0</v>
      </c>
      <c r="R154" s="321">
        <f t="shared" si="58"/>
        <v>0</v>
      </c>
      <c r="T154" s="321"/>
      <c r="U154" s="321">
        <f t="shared" si="57"/>
        <v>0</v>
      </c>
      <c r="X154" s="321">
        <f t="shared" si="59"/>
        <v>0</v>
      </c>
      <c r="Z154" s="321"/>
      <c r="AA154" s="321">
        <f t="shared" si="55"/>
        <v>0</v>
      </c>
      <c r="AD154" s="321">
        <f t="shared" si="60"/>
        <v>0</v>
      </c>
      <c r="AF154" s="321"/>
    </row>
    <row r="155" spans="1:32">
      <c r="B155" t="s">
        <v>766</v>
      </c>
      <c r="C155" s="321">
        <v>0</v>
      </c>
      <c r="D155" s="321">
        <v>0</v>
      </c>
      <c r="E155" s="321">
        <v>0</v>
      </c>
      <c r="F155" s="321">
        <v>0</v>
      </c>
      <c r="G155" s="321">
        <v>0</v>
      </c>
      <c r="H155" s="321">
        <v>0</v>
      </c>
      <c r="I155" s="321">
        <v>0</v>
      </c>
      <c r="J155" s="321">
        <v>0</v>
      </c>
      <c r="K155" s="321">
        <v>0</v>
      </c>
      <c r="L155" s="321">
        <v>0</v>
      </c>
      <c r="M155" s="321">
        <v>0</v>
      </c>
      <c r="N155" s="321">
        <v>0</v>
      </c>
      <c r="O155" s="321">
        <f t="shared" si="56"/>
        <v>0</v>
      </c>
      <c r="R155" s="321">
        <f t="shared" si="58"/>
        <v>0</v>
      </c>
      <c r="T155" s="321"/>
      <c r="U155" s="321">
        <f t="shared" si="57"/>
        <v>0</v>
      </c>
      <c r="X155" s="321">
        <f t="shared" si="59"/>
        <v>0</v>
      </c>
      <c r="Z155" s="321"/>
      <c r="AA155" s="321">
        <f t="shared" si="55"/>
        <v>0</v>
      </c>
      <c r="AD155" s="321">
        <f t="shared" si="60"/>
        <v>0</v>
      </c>
      <c r="AF155" s="321"/>
    </row>
    <row r="156" spans="1:32">
      <c r="B156" t="s">
        <v>765</v>
      </c>
      <c r="C156" s="321">
        <v>0</v>
      </c>
      <c r="D156" s="321">
        <v>0</v>
      </c>
      <c r="E156" s="321">
        <v>0</v>
      </c>
      <c r="F156" s="321">
        <v>0</v>
      </c>
      <c r="G156" s="321">
        <v>0</v>
      </c>
      <c r="H156" s="321">
        <v>0</v>
      </c>
      <c r="I156" s="321">
        <v>0</v>
      </c>
      <c r="J156" s="321">
        <v>0</v>
      </c>
      <c r="K156" s="321">
        <v>0</v>
      </c>
      <c r="L156" s="321">
        <v>0</v>
      </c>
      <c r="M156" s="321">
        <v>0</v>
      </c>
      <c r="N156" s="321">
        <v>0</v>
      </c>
      <c r="O156" s="321">
        <f t="shared" si="56"/>
        <v>0</v>
      </c>
      <c r="R156" s="321">
        <f t="shared" si="58"/>
        <v>0</v>
      </c>
      <c r="T156" s="321"/>
      <c r="U156" s="321">
        <f t="shared" si="57"/>
        <v>0</v>
      </c>
      <c r="X156" s="321">
        <f t="shared" si="59"/>
        <v>0</v>
      </c>
      <c r="Z156" s="321"/>
      <c r="AA156" s="321">
        <f t="shared" si="55"/>
        <v>0</v>
      </c>
      <c r="AD156" s="321">
        <f t="shared" si="60"/>
        <v>0</v>
      </c>
      <c r="AF156" s="321"/>
    </row>
    <row r="157" spans="1:32">
      <c r="A157" t="s">
        <v>797</v>
      </c>
      <c r="B157" t="s">
        <v>767</v>
      </c>
      <c r="C157" s="321">
        <v>0</v>
      </c>
      <c r="D157" s="321">
        <v>0</v>
      </c>
      <c r="E157" s="321">
        <v>0</v>
      </c>
      <c r="F157" s="321">
        <v>0</v>
      </c>
      <c r="G157" s="321">
        <v>0</v>
      </c>
      <c r="H157" s="321">
        <v>0</v>
      </c>
      <c r="I157" s="321">
        <v>0</v>
      </c>
      <c r="J157" s="321">
        <v>0</v>
      </c>
      <c r="K157" s="321">
        <v>5792.73</v>
      </c>
      <c r="L157" s="321">
        <v>0</v>
      </c>
      <c r="M157" s="321">
        <v>0</v>
      </c>
      <c r="N157" s="321">
        <v>0</v>
      </c>
      <c r="O157" s="321">
        <f t="shared" si="56"/>
        <v>5792.73</v>
      </c>
      <c r="R157" s="321">
        <f t="shared" si="58"/>
        <v>5792.73</v>
      </c>
      <c r="T157" s="321"/>
      <c r="U157" s="321">
        <f t="shared" si="57"/>
        <v>5792.73</v>
      </c>
      <c r="X157" s="321">
        <f t="shared" si="59"/>
        <v>5792.73</v>
      </c>
      <c r="Z157" s="321"/>
      <c r="AA157" s="321">
        <f t="shared" si="55"/>
        <v>0</v>
      </c>
      <c r="AD157" s="321">
        <f t="shared" si="60"/>
        <v>0</v>
      </c>
      <c r="AF157" s="321"/>
    </row>
    <row r="158" spans="1:32">
      <c r="B158" t="s">
        <v>766</v>
      </c>
      <c r="C158" s="321">
        <v>0</v>
      </c>
      <c r="D158" s="321">
        <v>0</v>
      </c>
      <c r="E158" s="321">
        <v>0</v>
      </c>
      <c r="F158" s="321">
        <v>0</v>
      </c>
      <c r="G158" s="321">
        <v>0</v>
      </c>
      <c r="H158" s="321">
        <v>0</v>
      </c>
      <c r="I158" s="321">
        <v>0</v>
      </c>
      <c r="J158" s="321">
        <v>0</v>
      </c>
      <c r="K158" s="321">
        <v>0</v>
      </c>
      <c r="L158" s="321">
        <v>0</v>
      </c>
      <c r="M158" s="321">
        <v>0</v>
      </c>
      <c r="N158" s="321">
        <v>0</v>
      </c>
      <c r="O158" s="321">
        <f t="shared" si="56"/>
        <v>0</v>
      </c>
      <c r="R158" s="321">
        <f t="shared" si="58"/>
        <v>0</v>
      </c>
      <c r="T158" s="321"/>
      <c r="U158" s="321">
        <f t="shared" si="57"/>
        <v>0</v>
      </c>
      <c r="X158" s="321">
        <f t="shared" si="59"/>
        <v>0</v>
      </c>
      <c r="Z158" s="321"/>
      <c r="AA158" s="321">
        <f t="shared" si="55"/>
        <v>0</v>
      </c>
      <c r="AD158" s="321">
        <f t="shared" si="60"/>
        <v>0</v>
      </c>
      <c r="AF158" s="321"/>
    </row>
    <row r="159" spans="1:32">
      <c r="B159" t="s">
        <v>765</v>
      </c>
      <c r="C159" s="321">
        <v>0</v>
      </c>
      <c r="D159" s="321">
        <v>0</v>
      </c>
      <c r="E159" s="321">
        <v>0</v>
      </c>
      <c r="F159" s="321">
        <v>0</v>
      </c>
      <c r="G159" s="321">
        <v>0</v>
      </c>
      <c r="H159" s="321">
        <v>0</v>
      </c>
      <c r="I159" s="321">
        <v>0</v>
      </c>
      <c r="J159" s="321">
        <v>0</v>
      </c>
      <c r="K159" s="321">
        <v>0</v>
      </c>
      <c r="L159" s="321">
        <v>0</v>
      </c>
      <c r="M159" s="321">
        <v>0</v>
      </c>
      <c r="N159" s="321">
        <v>0</v>
      </c>
      <c r="O159" s="321">
        <f t="shared" si="56"/>
        <v>0</v>
      </c>
      <c r="R159" s="321">
        <f t="shared" si="58"/>
        <v>0</v>
      </c>
      <c r="T159" s="321"/>
      <c r="U159" s="321">
        <f t="shared" si="57"/>
        <v>0</v>
      </c>
      <c r="X159" s="321">
        <f t="shared" si="59"/>
        <v>0</v>
      </c>
      <c r="Z159" s="321"/>
      <c r="AA159" s="321">
        <f t="shared" si="55"/>
        <v>0</v>
      </c>
      <c r="AD159" s="321">
        <f t="shared" si="60"/>
        <v>0</v>
      </c>
      <c r="AF159" s="321"/>
    </row>
    <row r="160" spans="1:32">
      <c r="A160" t="s">
        <v>796</v>
      </c>
      <c r="B160" t="s">
        <v>767</v>
      </c>
      <c r="C160" s="321">
        <v>0</v>
      </c>
      <c r="D160" s="321">
        <v>0</v>
      </c>
      <c r="E160" s="321">
        <v>0</v>
      </c>
      <c r="F160" s="321">
        <v>0</v>
      </c>
      <c r="G160" s="321">
        <v>0</v>
      </c>
      <c r="H160" s="321">
        <v>0</v>
      </c>
      <c r="I160" s="321">
        <v>0</v>
      </c>
      <c r="J160" s="321">
        <v>0</v>
      </c>
      <c r="K160" s="321">
        <v>0.5</v>
      </c>
      <c r="L160" s="321">
        <v>0</v>
      </c>
      <c r="M160" s="321">
        <v>0</v>
      </c>
      <c r="N160" s="321">
        <v>0</v>
      </c>
      <c r="O160" s="321">
        <f t="shared" si="56"/>
        <v>0.5</v>
      </c>
      <c r="R160" s="321">
        <f t="shared" si="58"/>
        <v>0.5</v>
      </c>
      <c r="T160" s="321"/>
      <c r="U160" s="321">
        <f t="shared" si="57"/>
        <v>0.5</v>
      </c>
      <c r="X160" s="321">
        <f t="shared" si="59"/>
        <v>0.5</v>
      </c>
      <c r="Z160" s="321"/>
      <c r="AA160" s="321">
        <f t="shared" si="55"/>
        <v>0</v>
      </c>
      <c r="AD160" s="321">
        <f t="shared" si="60"/>
        <v>0</v>
      </c>
      <c r="AF160" s="321"/>
    </row>
    <row r="161" spans="1:32">
      <c r="B161" t="s">
        <v>766</v>
      </c>
      <c r="C161" s="321">
        <v>0</v>
      </c>
      <c r="D161" s="321">
        <v>0</v>
      </c>
      <c r="E161" s="321">
        <v>0</v>
      </c>
      <c r="F161" s="321">
        <v>0</v>
      </c>
      <c r="G161" s="321">
        <v>0</v>
      </c>
      <c r="H161" s="321">
        <v>0</v>
      </c>
      <c r="I161" s="321">
        <v>0</v>
      </c>
      <c r="J161" s="321">
        <v>0</v>
      </c>
      <c r="K161" s="321">
        <v>0</v>
      </c>
      <c r="L161" s="321">
        <v>0</v>
      </c>
      <c r="M161" s="321">
        <v>0</v>
      </c>
      <c r="N161" s="321">
        <v>0</v>
      </c>
      <c r="O161" s="321">
        <f t="shared" si="56"/>
        <v>0</v>
      </c>
      <c r="R161" s="321">
        <f t="shared" si="58"/>
        <v>0</v>
      </c>
      <c r="T161" s="321"/>
      <c r="U161" s="321">
        <f t="shared" si="57"/>
        <v>0</v>
      </c>
      <c r="X161" s="321">
        <f t="shared" si="59"/>
        <v>0</v>
      </c>
      <c r="Z161" s="321"/>
      <c r="AA161" s="321">
        <f t="shared" si="55"/>
        <v>0</v>
      </c>
      <c r="AD161" s="321">
        <f t="shared" si="60"/>
        <v>0</v>
      </c>
      <c r="AF161" s="321"/>
    </row>
    <row r="162" spans="1:32">
      <c r="B162" t="s">
        <v>765</v>
      </c>
      <c r="C162" s="321">
        <v>0</v>
      </c>
      <c r="D162" s="321">
        <v>0</v>
      </c>
      <c r="E162" s="321">
        <v>0</v>
      </c>
      <c r="F162" s="321">
        <v>0</v>
      </c>
      <c r="G162" s="321">
        <v>0</v>
      </c>
      <c r="H162" s="321">
        <v>0</v>
      </c>
      <c r="I162" s="321">
        <v>0</v>
      </c>
      <c r="J162" s="321">
        <v>0</v>
      </c>
      <c r="K162" s="321">
        <v>0</v>
      </c>
      <c r="L162" s="321">
        <v>0</v>
      </c>
      <c r="M162" s="321">
        <v>0</v>
      </c>
      <c r="N162" s="321">
        <v>0</v>
      </c>
      <c r="O162" s="321">
        <f t="shared" si="56"/>
        <v>0</v>
      </c>
      <c r="R162" s="321">
        <f t="shared" si="58"/>
        <v>0</v>
      </c>
      <c r="T162" s="321"/>
      <c r="U162" s="321">
        <f t="shared" si="57"/>
        <v>0</v>
      </c>
      <c r="X162" s="321">
        <f t="shared" si="59"/>
        <v>0</v>
      </c>
      <c r="Z162" s="321"/>
      <c r="AA162" s="321">
        <f t="shared" si="55"/>
        <v>0</v>
      </c>
      <c r="AD162" s="321">
        <f t="shared" si="60"/>
        <v>0</v>
      </c>
      <c r="AF162" s="321"/>
    </row>
    <row r="163" spans="1:32">
      <c r="A163" t="s">
        <v>795</v>
      </c>
      <c r="B163" t="s">
        <v>767</v>
      </c>
      <c r="C163" s="321">
        <v>0</v>
      </c>
      <c r="D163" s="321">
        <v>0</v>
      </c>
      <c r="E163" s="321">
        <v>0</v>
      </c>
      <c r="F163" s="321">
        <v>0</v>
      </c>
      <c r="G163" s="321">
        <v>0</v>
      </c>
      <c r="H163" s="321">
        <v>0</v>
      </c>
      <c r="I163" s="321">
        <v>0</v>
      </c>
      <c r="J163" s="321">
        <v>0</v>
      </c>
      <c r="K163" s="321">
        <v>29</v>
      </c>
      <c r="L163" s="321">
        <v>0</v>
      </c>
      <c r="M163" s="321">
        <v>0</v>
      </c>
      <c r="N163" s="321">
        <v>0</v>
      </c>
      <c r="O163" s="321">
        <f t="shared" si="56"/>
        <v>29</v>
      </c>
      <c r="R163" s="321">
        <f t="shared" si="58"/>
        <v>29</v>
      </c>
      <c r="T163" s="321"/>
      <c r="U163" s="321">
        <f t="shared" si="57"/>
        <v>29</v>
      </c>
      <c r="X163" s="321">
        <f t="shared" si="59"/>
        <v>29</v>
      </c>
      <c r="Z163" s="321"/>
      <c r="AA163" s="321">
        <f t="shared" si="55"/>
        <v>0</v>
      </c>
      <c r="AD163" s="321">
        <f t="shared" si="60"/>
        <v>0</v>
      </c>
      <c r="AF163" s="321"/>
    </row>
    <row r="164" spans="1:32">
      <c r="B164" t="s">
        <v>766</v>
      </c>
      <c r="C164" s="321">
        <v>0</v>
      </c>
      <c r="D164" s="321">
        <v>0</v>
      </c>
      <c r="E164" s="321">
        <v>0</v>
      </c>
      <c r="F164" s="321">
        <v>0</v>
      </c>
      <c r="G164" s="321">
        <v>0</v>
      </c>
      <c r="H164" s="321">
        <v>0</v>
      </c>
      <c r="I164" s="321">
        <v>0</v>
      </c>
      <c r="J164" s="321">
        <v>0</v>
      </c>
      <c r="K164" s="321">
        <v>1</v>
      </c>
      <c r="L164" s="321">
        <v>0</v>
      </c>
      <c r="M164" s="321">
        <v>0</v>
      </c>
      <c r="N164" s="321">
        <v>0</v>
      </c>
      <c r="O164" s="321">
        <f t="shared" si="56"/>
        <v>1</v>
      </c>
      <c r="R164" s="321">
        <f t="shared" si="58"/>
        <v>1</v>
      </c>
      <c r="T164" s="321"/>
      <c r="U164" s="321">
        <f t="shared" si="57"/>
        <v>1</v>
      </c>
      <c r="X164" s="321">
        <f t="shared" si="59"/>
        <v>1</v>
      </c>
      <c r="Z164" s="321"/>
      <c r="AA164" s="321">
        <f t="shared" si="55"/>
        <v>0</v>
      </c>
      <c r="AD164" s="321">
        <f t="shared" si="60"/>
        <v>0</v>
      </c>
      <c r="AF164" s="321"/>
    </row>
    <row r="165" spans="1:32">
      <c r="B165" t="s">
        <v>765</v>
      </c>
      <c r="C165" s="321">
        <v>0</v>
      </c>
      <c r="D165" s="321">
        <v>0</v>
      </c>
      <c r="E165" s="321">
        <v>0</v>
      </c>
      <c r="F165" s="321">
        <v>0</v>
      </c>
      <c r="G165" s="321">
        <v>0</v>
      </c>
      <c r="H165" s="321">
        <v>0</v>
      </c>
      <c r="I165" s="321">
        <v>0</v>
      </c>
      <c r="J165" s="321">
        <v>0</v>
      </c>
      <c r="K165" s="321">
        <v>0</v>
      </c>
      <c r="L165" s="321">
        <v>0</v>
      </c>
      <c r="M165" s="321">
        <v>0</v>
      </c>
      <c r="N165" s="321">
        <v>0</v>
      </c>
      <c r="O165" s="321">
        <f t="shared" si="56"/>
        <v>0</v>
      </c>
      <c r="R165" s="321">
        <f t="shared" si="58"/>
        <v>0</v>
      </c>
      <c r="T165" s="321"/>
      <c r="U165" s="321">
        <f t="shared" si="57"/>
        <v>0</v>
      </c>
      <c r="X165" s="321">
        <f t="shared" si="59"/>
        <v>0</v>
      </c>
      <c r="Z165" s="321"/>
      <c r="AA165" s="321">
        <f t="shared" si="55"/>
        <v>0</v>
      </c>
      <c r="AD165" s="321">
        <f t="shared" si="60"/>
        <v>0</v>
      </c>
      <c r="AF165" s="321"/>
    </row>
    <row r="166" spans="1:32">
      <c r="A166" t="s">
        <v>794</v>
      </c>
      <c r="B166" t="s">
        <v>767</v>
      </c>
      <c r="C166" s="321">
        <v>0</v>
      </c>
      <c r="D166" s="321">
        <v>0</v>
      </c>
      <c r="E166" s="321">
        <v>0</v>
      </c>
      <c r="F166" s="321">
        <v>0</v>
      </c>
      <c r="G166" s="321">
        <v>0</v>
      </c>
      <c r="H166" s="321">
        <v>0</v>
      </c>
      <c r="I166" s="321">
        <v>0</v>
      </c>
      <c r="J166" s="321">
        <v>0</v>
      </c>
      <c r="K166" s="321">
        <v>0</v>
      </c>
      <c r="L166" s="321">
        <v>0</v>
      </c>
      <c r="M166" s="321">
        <v>0</v>
      </c>
      <c r="N166" s="321">
        <v>0</v>
      </c>
      <c r="O166" s="321">
        <f t="shared" si="56"/>
        <v>0</v>
      </c>
      <c r="R166" s="321">
        <f t="shared" si="58"/>
        <v>0</v>
      </c>
      <c r="T166" s="321"/>
      <c r="U166" s="321">
        <f t="shared" si="57"/>
        <v>0</v>
      </c>
      <c r="X166" s="321">
        <f t="shared" si="59"/>
        <v>0</v>
      </c>
      <c r="Z166" s="321"/>
      <c r="AA166" s="321">
        <f t="shared" si="55"/>
        <v>0</v>
      </c>
      <c r="AD166" s="321">
        <f t="shared" si="60"/>
        <v>0</v>
      </c>
      <c r="AF166" s="321"/>
    </row>
    <row r="167" spans="1:32">
      <c r="B167" t="s">
        <v>766</v>
      </c>
      <c r="C167" s="321">
        <v>0</v>
      </c>
      <c r="D167" s="321">
        <v>0</v>
      </c>
      <c r="E167" s="321">
        <v>0</v>
      </c>
      <c r="F167" s="321">
        <v>0</v>
      </c>
      <c r="G167" s="321">
        <v>0</v>
      </c>
      <c r="H167" s="321">
        <v>0</v>
      </c>
      <c r="I167" s="321">
        <v>0</v>
      </c>
      <c r="J167" s="321">
        <v>0</v>
      </c>
      <c r="K167" s="321">
        <v>0</v>
      </c>
      <c r="L167" s="321">
        <v>0</v>
      </c>
      <c r="M167" s="321">
        <v>0</v>
      </c>
      <c r="N167" s="321">
        <v>0</v>
      </c>
      <c r="O167" s="321">
        <f t="shared" si="56"/>
        <v>0</v>
      </c>
      <c r="R167" s="321">
        <f t="shared" si="58"/>
        <v>0</v>
      </c>
      <c r="T167" s="321"/>
      <c r="U167" s="321">
        <f t="shared" si="57"/>
        <v>0</v>
      </c>
      <c r="X167" s="321">
        <f t="shared" si="59"/>
        <v>0</v>
      </c>
      <c r="Z167" s="321"/>
      <c r="AA167" s="321">
        <f t="shared" si="55"/>
        <v>0</v>
      </c>
      <c r="AD167" s="321">
        <f t="shared" si="60"/>
        <v>0</v>
      </c>
      <c r="AF167" s="321"/>
    </row>
    <row r="168" spans="1:32">
      <c r="B168" t="s">
        <v>765</v>
      </c>
      <c r="C168" s="321">
        <v>0</v>
      </c>
      <c r="D168" s="321">
        <v>0</v>
      </c>
      <c r="E168" s="321">
        <v>0</v>
      </c>
      <c r="F168" s="321">
        <v>0</v>
      </c>
      <c r="G168" s="321">
        <v>0</v>
      </c>
      <c r="H168" s="321">
        <v>0</v>
      </c>
      <c r="I168" s="321">
        <v>0</v>
      </c>
      <c r="J168" s="321">
        <v>0</v>
      </c>
      <c r="K168" s="321">
        <v>0</v>
      </c>
      <c r="L168" s="321">
        <v>0</v>
      </c>
      <c r="M168" s="321">
        <v>0</v>
      </c>
      <c r="N168" s="321">
        <v>0</v>
      </c>
      <c r="O168" s="321">
        <f t="shared" si="56"/>
        <v>0</v>
      </c>
      <c r="R168" s="321">
        <f t="shared" si="58"/>
        <v>0</v>
      </c>
      <c r="T168" s="321"/>
      <c r="U168" s="321">
        <f t="shared" si="57"/>
        <v>0</v>
      </c>
      <c r="X168" s="321">
        <f t="shared" si="59"/>
        <v>0</v>
      </c>
      <c r="Z168" s="321"/>
      <c r="AA168" s="321">
        <f t="shared" si="55"/>
        <v>0</v>
      </c>
      <c r="AD168" s="321">
        <f t="shared" si="60"/>
        <v>0</v>
      </c>
      <c r="AF168" s="321"/>
    </row>
    <row r="169" spans="1:32">
      <c r="A169" t="s">
        <v>793</v>
      </c>
      <c r="B169" t="s">
        <v>767</v>
      </c>
      <c r="C169" s="321">
        <v>0</v>
      </c>
      <c r="D169" s="321">
        <v>0</v>
      </c>
      <c r="E169" s="321">
        <v>0</v>
      </c>
      <c r="F169" s="321">
        <v>0</v>
      </c>
      <c r="G169" s="321">
        <v>0</v>
      </c>
      <c r="H169" s="321">
        <v>0</v>
      </c>
      <c r="I169" s="321">
        <v>0</v>
      </c>
      <c r="J169" s="321">
        <v>0</v>
      </c>
      <c r="K169" s="321">
        <v>5691</v>
      </c>
      <c r="L169" s="321">
        <v>0</v>
      </c>
      <c r="M169" s="321">
        <v>0</v>
      </c>
      <c r="N169" s="321">
        <v>0</v>
      </c>
      <c r="O169" s="321">
        <f t="shared" si="56"/>
        <v>5691</v>
      </c>
      <c r="R169" s="321">
        <f t="shared" si="58"/>
        <v>5691</v>
      </c>
      <c r="T169" s="321"/>
      <c r="U169" s="321">
        <f t="shared" si="57"/>
        <v>5691</v>
      </c>
      <c r="X169" s="321">
        <f t="shared" si="59"/>
        <v>5691</v>
      </c>
      <c r="Z169" s="321"/>
      <c r="AA169" s="321">
        <f t="shared" si="55"/>
        <v>0</v>
      </c>
      <c r="AD169" s="321">
        <f t="shared" si="60"/>
        <v>0</v>
      </c>
      <c r="AF169" s="321"/>
    </row>
    <row r="170" spans="1:32">
      <c r="B170" t="s">
        <v>766</v>
      </c>
      <c r="C170" s="321">
        <v>0</v>
      </c>
      <c r="D170" s="321">
        <v>0</v>
      </c>
      <c r="E170" s="321">
        <v>0</v>
      </c>
      <c r="F170" s="321">
        <v>0</v>
      </c>
      <c r="G170" s="321">
        <v>0</v>
      </c>
      <c r="H170" s="321">
        <v>0</v>
      </c>
      <c r="I170" s="321">
        <v>0</v>
      </c>
      <c r="J170" s="321">
        <v>0</v>
      </c>
      <c r="K170" s="321">
        <v>245</v>
      </c>
      <c r="L170" s="321">
        <v>0</v>
      </c>
      <c r="M170" s="321">
        <v>0</v>
      </c>
      <c r="N170" s="321">
        <v>0</v>
      </c>
      <c r="O170" s="321">
        <f t="shared" si="56"/>
        <v>245</v>
      </c>
      <c r="R170" s="321">
        <f t="shared" si="58"/>
        <v>245</v>
      </c>
      <c r="T170" s="321"/>
      <c r="U170" s="321">
        <f t="shared" si="57"/>
        <v>245</v>
      </c>
      <c r="X170" s="321">
        <f t="shared" si="59"/>
        <v>245</v>
      </c>
      <c r="Z170" s="321"/>
      <c r="AA170" s="321">
        <f t="shared" si="55"/>
        <v>0</v>
      </c>
      <c r="AD170" s="321">
        <f t="shared" si="60"/>
        <v>0</v>
      </c>
      <c r="AF170" s="321"/>
    </row>
    <row r="171" spans="1:32">
      <c r="B171" t="s">
        <v>765</v>
      </c>
      <c r="C171" s="321">
        <v>0</v>
      </c>
      <c r="D171" s="321">
        <v>0</v>
      </c>
      <c r="E171" s="321">
        <v>0</v>
      </c>
      <c r="F171" s="321">
        <v>0</v>
      </c>
      <c r="G171" s="321">
        <v>0</v>
      </c>
      <c r="H171" s="321">
        <v>0</v>
      </c>
      <c r="I171" s="321">
        <v>0</v>
      </c>
      <c r="J171" s="321">
        <v>0</v>
      </c>
      <c r="K171" s="321">
        <v>495</v>
      </c>
      <c r="L171" s="321">
        <v>0</v>
      </c>
      <c r="M171" s="321">
        <v>0</v>
      </c>
      <c r="N171" s="321">
        <v>0</v>
      </c>
      <c r="O171" s="321">
        <f t="shared" si="56"/>
        <v>495</v>
      </c>
      <c r="R171" s="321">
        <f t="shared" si="58"/>
        <v>495</v>
      </c>
      <c r="T171" s="321"/>
      <c r="U171" s="321">
        <f t="shared" si="57"/>
        <v>495</v>
      </c>
      <c r="X171" s="321">
        <f t="shared" si="59"/>
        <v>495</v>
      </c>
      <c r="Z171" s="321"/>
      <c r="AA171" s="321">
        <f t="shared" si="55"/>
        <v>0</v>
      </c>
      <c r="AD171" s="321">
        <f t="shared" si="60"/>
        <v>0</v>
      </c>
      <c r="AF171" s="321"/>
    </row>
    <row r="172" spans="1:32">
      <c r="A172" t="s">
        <v>792</v>
      </c>
      <c r="B172" t="s">
        <v>767</v>
      </c>
      <c r="C172" s="321">
        <v>0</v>
      </c>
      <c r="D172" s="321">
        <v>0</v>
      </c>
      <c r="E172" s="321">
        <v>0</v>
      </c>
      <c r="F172" s="321">
        <v>0</v>
      </c>
      <c r="G172" s="321">
        <v>0</v>
      </c>
      <c r="H172" s="321">
        <v>0</v>
      </c>
      <c r="I172" s="321">
        <v>0</v>
      </c>
      <c r="J172" s="321">
        <v>0</v>
      </c>
      <c r="K172" s="321">
        <v>527.75</v>
      </c>
      <c r="L172" s="321">
        <v>0</v>
      </c>
      <c r="M172" s="321">
        <v>0</v>
      </c>
      <c r="N172" s="321">
        <v>0</v>
      </c>
      <c r="O172" s="321">
        <f t="shared" si="56"/>
        <v>527.75</v>
      </c>
      <c r="R172" s="321">
        <f t="shared" si="58"/>
        <v>527.75</v>
      </c>
      <c r="T172" s="321"/>
      <c r="U172" s="321">
        <f t="shared" si="57"/>
        <v>527.75</v>
      </c>
      <c r="X172" s="321">
        <f t="shared" si="59"/>
        <v>527.75</v>
      </c>
      <c r="Z172" s="321"/>
      <c r="AA172" s="321">
        <f t="shared" si="55"/>
        <v>0</v>
      </c>
      <c r="AD172" s="321">
        <f t="shared" si="60"/>
        <v>0</v>
      </c>
      <c r="AF172" s="321"/>
    </row>
    <row r="173" spans="1:32">
      <c r="B173" t="s">
        <v>766</v>
      </c>
      <c r="C173" s="321">
        <v>0</v>
      </c>
      <c r="D173" s="321">
        <v>0</v>
      </c>
      <c r="E173" s="321">
        <v>0</v>
      </c>
      <c r="F173" s="321">
        <v>0</v>
      </c>
      <c r="G173" s="321">
        <v>0</v>
      </c>
      <c r="H173" s="321">
        <v>0</v>
      </c>
      <c r="I173" s="321">
        <v>0</v>
      </c>
      <c r="J173" s="321">
        <v>0</v>
      </c>
      <c r="K173" s="321">
        <v>68.75</v>
      </c>
      <c r="L173" s="321">
        <v>0</v>
      </c>
      <c r="M173" s="321">
        <v>0</v>
      </c>
      <c r="N173" s="321">
        <v>0</v>
      </c>
      <c r="O173" s="321">
        <f t="shared" si="56"/>
        <v>68.75</v>
      </c>
      <c r="R173" s="321">
        <f t="shared" si="58"/>
        <v>68.75</v>
      </c>
      <c r="T173" s="321"/>
      <c r="U173" s="321">
        <f t="shared" si="57"/>
        <v>68.75</v>
      </c>
      <c r="X173" s="321">
        <f t="shared" si="59"/>
        <v>68.75</v>
      </c>
      <c r="Z173" s="321"/>
      <c r="AA173" s="321">
        <f t="shared" si="55"/>
        <v>0</v>
      </c>
      <c r="AD173" s="321">
        <f t="shared" si="60"/>
        <v>0</v>
      </c>
      <c r="AF173" s="321"/>
    </row>
    <row r="174" spans="1:32">
      <c r="B174" t="s">
        <v>765</v>
      </c>
      <c r="C174" s="321">
        <v>0</v>
      </c>
      <c r="D174" s="321">
        <v>0</v>
      </c>
      <c r="E174" s="321">
        <v>0</v>
      </c>
      <c r="F174" s="321">
        <v>0</v>
      </c>
      <c r="G174" s="321">
        <v>0</v>
      </c>
      <c r="H174" s="321">
        <v>0</v>
      </c>
      <c r="I174" s="321">
        <v>0</v>
      </c>
      <c r="J174" s="321">
        <v>0</v>
      </c>
      <c r="K174" s="321">
        <v>1135</v>
      </c>
      <c r="L174" s="321">
        <v>0</v>
      </c>
      <c r="M174" s="321">
        <v>0</v>
      </c>
      <c r="N174" s="321">
        <v>0</v>
      </c>
      <c r="O174" s="321">
        <f t="shared" si="56"/>
        <v>1135</v>
      </c>
      <c r="R174" s="321">
        <f t="shared" si="58"/>
        <v>1135</v>
      </c>
      <c r="T174" s="321"/>
      <c r="U174" s="321">
        <f t="shared" si="57"/>
        <v>1135</v>
      </c>
      <c r="X174" s="321">
        <f t="shared" si="59"/>
        <v>1135</v>
      </c>
      <c r="Z174" s="321"/>
      <c r="AA174" s="321">
        <f t="shared" si="55"/>
        <v>0</v>
      </c>
      <c r="AD174" s="321">
        <f t="shared" si="60"/>
        <v>0</v>
      </c>
      <c r="AF174" s="321"/>
    </row>
    <row r="175" spans="1:32">
      <c r="A175" t="s">
        <v>791</v>
      </c>
      <c r="B175" t="s">
        <v>767</v>
      </c>
      <c r="C175" s="321">
        <v>0</v>
      </c>
      <c r="D175" s="321">
        <v>0</v>
      </c>
      <c r="E175" s="321">
        <v>0</v>
      </c>
      <c r="F175" s="321">
        <v>0</v>
      </c>
      <c r="G175" s="321">
        <v>0</v>
      </c>
      <c r="H175" s="321">
        <v>0</v>
      </c>
      <c r="I175" s="321">
        <v>0</v>
      </c>
      <c r="J175" s="321">
        <v>0</v>
      </c>
      <c r="K175" s="321">
        <v>255</v>
      </c>
      <c r="L175" s="321">
        <v>0</v>
      </c>
      <c r="M175" s="321">
        <v>0</v>
      </c>
      <c r="N175" s="321">
        <v>0</v>
      </c>
      <c r="O175" s="321">
        <f t="shared" si="56"/>
        <v>255</v>
      </c>
      <c r="R175" s="321">
        <f t="shared" si="58"/>
        <v>255</v>
      </c>
      <c r="T175" s="321"/>
      <c r="U175" s="321">
        <f t="shared" si="57"/>
        <v>255</v>
      </c>
      <c r="X175" s="321">
        <f t="shared" si="59"/>
        <v>255</v>
      </c>
      <c r="Z175" s="321"/>
      <c r="AA175" s="321">
        <f t="shared" si="55"/>
        <v>0</v>
      </c>
      <c r="AD175" s="321">
        <f t="shared" si="60"/>
        <v>0</v>
      </c>
      <c r="AF175" s="321"/>
    </row>
    <row r="176" spans="1:32">
      <c r="B176" t="s">
        <v>766</v>
      </c>
      <c r="C176" s="321">
        <v>0</v>
      </c>
      <c r="D176" s="321">
        <v>0</v>
      </c>
      <c r="E176" s="321">
        <v>0</v>
      </c>
      <c r="F176" s="321">
        <v>0</v>
      </c>
      <c r="G176" s="321">
        <v>0</v>
      </c>
      <c r="H176" s="321">
        <v>0</v>
      </c>
      <c r="I176" s="321">
        <v>0</v>
      </c>
      <c r="J176" s="321">
        <v>0</v>
      </c>
      <c r="K176" s="321">
        <v>3670</v>
      </c>
      <c r="L176" s="321">
        <v>0</v>
      </c>
      <c r="M176" s="321">
        <v>0</v>
      </c>
      <c r="N176" s="321">
        <v>0</v>
      </c>
      <c r="O176" s="321">
        <f t="shared" si="56"/>
        <v>3670</v>
      </c>
      <c r="R176" s="321">
        <f t="shared" si="58"/>
        <v>3670</v>
      </c>
      <c r="T176" s="321"/>
      <c r="U176" s="321">
        <f t="shared" si="57"/>
        <v>3670</v>
      </c>
      <c r="X176" s="321">
        <f t="shared" si="59"/>
        <v>3670</v>
      </c>
      <c r="Z176" s="321"/>
      <c r="AA176" s="321">
        <f t="shared" si="55"/>
        <v>0</v>
      </c>
      <c r="AD176" s="321">
        <f t="shared" si="60"/>
        <v>0</v>
      </c>
      <c r="AF176" s="321"/>
    </row>
    <row r="177" spans="1:32">
      <c r="B177" t="s">
        <v>765</v>
      </c>
      <c r="C177" s="321">
        <v>0</v>
      </c>
      <c r="D177" s="321">
        <v>0</v>
      </c>
      <c r="E177" s="321">
        <v>0</v>
      </c>
      <c r="F177" s="321">
        <v>0</v>
      </c>
      <c r="G177" s="321">
        <v>0</v>
      </c>
      <c r="H177" s="321">
        <v>0</v>
      </c>
      <c r="I177" s="321">
        <v>0</v>
      </c>
      <c r="J177" s="321">
        <v>0</v>
      </c>
      <c r="K177" s="321">
        <v>11315</v>
      </c>
      <c r="L177" s="321">
        <v>0</v>
      </c>
      <c r="M177" s="321">
        <v>0</v>
      </c>
      <c r="N177" s="321">
        <v>0</v>
      </c>
      <c r="O177" s="321">
        <f t="shared" si="56"/>
        <v>11315</v>
      </c>
      <c r="R177" s="321">
        <f t="shared" si="58"/>
        <v>11315</v>
      </c>
      <c r="T177" s="321"/>
      <c r="U177" s="321">
        <f t="shared" si="57"/>
        <v>11315</v>
      </c>
      <c r="X177" s="321">
        <f t="shared" si="59"/>
        <v>11315</v>
      </c>
      <c r="Z177" s="321"/>
      <c r="AA177" s="321">
        <f t="shared" si="55"/>
        <v>0</v>
      </c>
      <c r="AD177" s="321">
        <f t="shared" si="60"/>
        <v>0</v>
      </c>
      <c r="AF177" s="321"/>
    </row>
    <row r="178" spans="1:32">
      <c r="A178" t="s">
        <v>790</v>
      </c>
      <c r="B178" t="s">
        <v>767</v>
      </c>
      <c r="C178" s="321">
        <v>0</v>
      </c>
      <c r="D178" s="321">
        <v>0</v>
      </c>
      <c r="E178" s="321">
        <v>0</v>
      </c>
      <c r="F178" s="321">
        <v>0</v>
      </c>
      <c r="G178" s="321">
        <v>0</v>
      </c>
      <c r="H178" s="321">
        <v>0</v>
      </c>
      <c r="I178" s="321">
        <v>0</v>
      </c>
      <c r="J178" s="321">
        <v>0</v>
      </c>
      <c r="K178" s="321">
        <v>0</v>
      </c>
      <c r="L178" s="321">
        <v>0</v>
      </c>
      <c r="M178" s="321">
        <v>0</v>
      </c>
      <c r="N178" s="321">
        <v>0</v>
      </c>
      <c r="O178" s="321">
        <f t="shared" si="56"/>
        <v>0</v>
      </c>
      <c r="R178" s="321">
        <f t="shared" si="58"/>
        <v>0</v>
      </c>
      <c r="T178" s="321"/>
      <c r="U178" s="321">
        <f t="shared" si="57"/>
        <v>0</v>
      </c>
      <c r="X178" s="321">
        <f t="shared" si="59"/>
        <v>0</v>
      </c>
      <c r="Z178" s="321"/>
      <c r="AA178" s="321">
        <f t="shared" si="55"/>
        <v>0</v>
      </c>
      <c r="AD178" s="321">
        <f t="shared" si="60"/>
        <v>0</v>
      </c>
      <c r="AF178" s="321"/>
    </row>
    <row r="179" spans="1:32">
      <c r="B179" t="s">
        <v>766</v>
      </c>
      <c r="C179" s="321">
        <v>0</v>
      </c>
      <c r="D179" s="321">
        <v>0</v>
      </c>
      <c r="E179" s="321">
        <v>0</v>
      </c>
      <c r="F179" s="321">
        <v>0</v>
      </c>
      <c r="G179" s="321">
        <v>0</v>
      </c>
      <c r="H179" s="321">
        <v>0</v>
      </c>
      <c r="I179" s="321">
        <v>0</v>
      </c>
      <c r="J179" s="321">
        <v>0</v>
      </c>
      <c r="K179" s="321">
        <v>0</v>
      </c>
      <c r="L179" s="321">
        <v>0</v>
      </c>
      <c r="M179" s="321">
        <v>0</v>
      </c>
      <c r="N179" s="321">
        <v>0</v>
      </c>
      <c r="O179" s="321">
        <f t="shared" si="56"/>
        <v>0</v>
      </c>
      <c r="R179" s="321">
        <f t="shared" si="58"/>
        <v>0</v>
      </c>
      <c r="T179" s="321"/>
      <c r="U179" s="321">
        <f t="shared" si="57"/>
        <v>0</v>
      </c>
      <c r="X179" s="321">
        <f t="shared" si="59"/>
        <v>0</v>
      </c>
      <c r="Z179" s="321"/>
      <c r="AA179" s="321">
        <f t="shared" si="55"/>
        <v>0</v>
      </c>
      <c r="AD179" s="321">
        <f t="shared" si="60"/>
        <v>0</v>
      </c>
      <c r="AF179" s="321"/>
    </row>
    <row r="180" spans="1:32">
      <c r="B180" t="s">
        <v>765</v>
      </c>
      <c r="C180" s="321">
        <v>0</v>
      </c>
      <c r="D180" s="321">
        <v>0</v>
      </c>
      <c r="E180" s="321">
        <v>0</v>
      </c>
      <c r="F180" s="321">
        <v>0</v>
      </c>
      <c r="G180" s="321">
        <v>0</v>
      </c>
      <c r="H180" s="321">
        <v>0</v>
      </c>
      <c r="I180" s="321">
        <v>0</v>
      </c>
      <c r="J180" s="321">
        <v>0</v>
      </c>
      <c r="K180" s="321">
        <v>0</v>
      </c>
      <c r="L180" s="321">
        <v>0</v>
      </c>
      <c r="M180" s="321">
        <v>0</v>
      </c>
      <c r="N180" s="321">
        <v>0</v>
      </c>
      <c r="O180" s="321">
        <f t="shared" si="56"/>
        <v>0</v>
      </c>
      <c r="R180" s="321">
        <f t="shared" si="58"/>
        <v>0</v>
      </c>
      <c r="T180" s="321"/>
      <c r="U180" s="321">
        <f t="shared" si="57"/>
        <v>0</v>
      </c>
      <c r="X180" s="321">
        <f t="shared" si="59"/>
        <v>0</v>
      </c>
      <c r="Z180" s="321"/>
      <c r="AA180" s="321">
        <f t="shared" si="55"/>
        <v>0</v>
      </c>
      <c r="AD180" s="321">
        <f t="shared" si="60"/>
        <v>0</v>
      </c>
      <c r="AF180" s="321"/>
    </row>
    <row r="181" spans="1:32">
      <c r="A181" t="s">
        <v>789</v>
      </c>
      <c r="B181" t="s">
        <v>767</v>
      </c>
      <c r="C181" s="321">
        <v>0</v>
      </c>
      <c r="D181" s="321">
        <v>0</v>
      </c>
      <c r="E181" s="321">
        <v>0</v>
      </c>
      <c r="F181" s="321">
        <v>0</v>
      </c>
      <c r="G181" s="321">
        <v>0</v>
      </c>
      <c r="H181" s="321">
        <v>0</v>
      </c>
      <c r="I181" s="321">
        <v>0</v>
      </c>
      <c r="J181" s="321">
        <v>0</v>
      </c>
      <c r="K181" s="321">
        <v>71</v>
      </c>
      <c r="L181" s="321">
        <v>0</v>
      </c>
      <c r="M181" s="321">
        <v>0</v>
      </c>
      <c r="N181" s="321">
        <v>0</v>
      </c>
      <c r="O181" s="321">
        <f t="shared" si="56"/>
        <v>71</v>
      </c>
      <c r="Q181" s="321">
        <f>-O181</f>
        <v>-71</v>
      </c>
      <c r="R181" s="321">
        <f t="shared" si="58"/>
        <v>0</v>
      </c>
      <c r="T181" s="321"/>
      <c r="U181" s="321">
        <f t="shared" si="57"/>
        <v>71</v>
      </c>
      <c r="W181" s="321">
        <f>-U181</f>
        <v>-71</v>
      </c>
      <c r="X181" s="321">
        <f t="shared" si="59"/>
        <v>0</v>
      </c>
      <c r="Z181" s="321"/>
      <c r="AA181" s="321">
        <f t="shared" si="55"/>
        <v>0</v>
      </c>
      <c r="AC181" s="321">
        <f>-AA181</f>
        <v>0</v>
      </c>
      <c r="AD181" s="321">
        <f t="shared" si="60"/>
        <v>0</v>
      </c>
      <c r="AF181" s="321"/>
    </row>
    <row r="182" spans="1:32">
      <c r="B182" t="s">
        <v>766</v>
      </c>
      <c r="C182" s="321">
        <v>0</v>
      </c>
      <c r="D182" s="321">
        <v>0</v>
      </c>
      <c r="E182" s="321">
        <v>0</v>
      </c>
      <c r="F182" s="321">
        <v>0</v>
      </c>
      <c r="G182" s="321">
        <v>0</v>
      </c>
      <c r="H182" s="321">
        <v>0</v>
      </c>
      <c r="I182" s="321">
        <v>0</v>
      </c>
      <c r="J182" s="321">
        <v>0</v>
      </c>
      <c r="K182" s="321">
        <v>2</v>
      </c>
      <c r="L182" s="321">
        <v>0</v>
      </c>
      <c r="M182" s="321">
        <v>0</v>
      </c>
      <c r="N182" s="321">
        <v>0</v>
      </c>
      <c r="O182" s="321">
        <f t="shared" si="56"/>
        <v>2</v>
      </c>
      <c r="Q182" s="321">
        <f>-O182</f>
        <v>-2</v>
      </c>
      <c r="R182" s="321">
        <f t="shared" ref="R182:R216" si="61">+O182+Q182</f>
        <v>0</v>
      </c>
      <c r="T182" s="321"/>
      <c r="U182" s="321">
        <f t="shared" si="57"/>
        <v>2</v>
      </c>
      <c r="W182" s="321">
        <f>-U182</f>
        <v>-2</v>
      </c>
      <c r="X182" s="321">
        <f t="shared" ref="X182:X216" si="62">+U182+W182</f>
        <v>0</v>
      </c>
      <c r="Z182" s="321"/>
      <c r="AA182" s="321">
        <f t="shared" si="55"/>
        <v>0</v>
      </c>
      <c r="AC182" s="321">
        <f>-AA182</f>
        <v>0</v>
      </c>
      <c r="AD182" s="321">
        <f t="shared" ref="AD182:AD216" si="63">+AA182+AC182</f>
        <v>0</v>
      </c>
      <c r="AF182" s="321"/>
    </row>
    <row r="183" spans="1:32">
      <c r="B183" t="s">
        <v>765</v>
      </c>
      <c r="C183" s="321">
        <v>0</v>
      </c>
      <c r="D183" s="321">
        <v>0</v>
      </c>
      <c r="E183" s="321">
        <v>0</v>
      </c>
      <c r="F183" s="321">
        <v>0</v>
      </c>
      <c r="G183" s="321">
        <v>0</v>
      </c>
      <c r="H183" s="321">
        <v>0</v>
      </c>
      <c r="I183" s="321">
        <v>0</v>
      </c>
      <c r="J183" s="321">
        <v>0</v>
      </c>
      <c r="K183" s="321">
        <v>1</v>
      </c>
      <c r="L183" s="321">
        <v>0</v>
      </c>
      <c r="M183" s="321">
        <v>0</v>
      </c>
      <c r="N183" s="321">
        <v>0</v>
      </c>
      <c r="O183" s="321">
        <f t="shared" si="56"/>
        <v>1</v>
      </c>
      <c r="Q183" s="321">
        <f>-O183</f>
        <v>-1</v>
      </c>
      <c r="R183" s="321">
        <f t="shared" si="61"/>
        <v>0</v>
      </c>
      <c r="T183" s="321"/>
      <c r="U183" s="321">
        <f t="shared" si="57"/>
        <v>1</v>
      </c>
      <c r="W183" s="321">
        <f>-U183</f>
        <v>-1</v>
      </c>
      <c r="X183" s="321">
        <f t="shared" si="62"/>
        <v>0</v>
      </c>
      <c r="Z183" s="321"/>
      <c r="AA183" s="321">
        <f t="shared" si="55"/>
        <v>0</v>
      </c>
      <c r="AC183" s="321">
        <f>-AA183</f>
        <v>0</v>
      </c>
      <c r="AD183" s="321">
        <f t="shared" si="63"/>
        <v>0</v>
      </c>
      <c r="AF183" s="321"/>
    </row>
    <row r="184" spans="1:32">
      <c r="A184" t="s">
        <v>788</v>
      </c>
      <c r="B184" t="s">
        <v>767</v>
      </c>
      <c r="C184" s="321">
        <v>0</v>
      </c>
      <c r="D184" s="321">
        <v>0</v>
      </c>
      <c r="E184" s="321">
        <v>0</v>
      </c>
      <c r="F184" s="321">
        <v>0</v>
      </c>
      <c r="G184" s="321">
        <v>0</v>
      </c>
      <c r="H184" s="321">
        <v>0</v>
      </c>
      <c r="I184" s="321">
        <v>0</v>
      </c>
      <c r="J184" s="321">
        <v>0</v>
      </c>
      <c r="K184" s="321">
        <v>10</v>
      </c>
      <c r="L184" s="321">
        <v>0</v>
      </c>
      <c r="M184" s="321">
        <v>0</v>
      </c>
      <c r="N184" s="321">
        <v>0</v>
      </c>
      <c r="O184" s="321">
        <f t="shared" si="56"/>
        <v>10</v>
      </c>
      <c r="Q184" s="321">
        <f t="shared" ref="Q184:Q192" si="64">-O184</f>
        <v>-10</v>
      </c>
      <c r="R184" s="321">
        <f t="shared" si="61"/>
        <v>0</v>
      </c>
      <c r="T184" s="321"/>
      <c r="U184" s="321">
        <f t="shared" si="57"/>
        <v>10</v>
      </c>
      <c r="W184" s="321">
        <f t="shared" ref="W184:W192" si="65">-U184</f>
        <v>-10</v>
      </c>
      <c r="X184" s="321">
        <f t="shared" si="62"/>
        <v>0</v>
      </c>
      <c r="Z184" s="321"/>
      <c r="AA184" s="321">
        <f t="shared" si="55"/>
        <v>0</v>
      </c>
      <c r="AC184" s="321">
        <f t="shared" ref="AC184:AC192" si="66">-AA184</f>
        <v>0</v>
      </c>
      <c r="AD184" s="321">
        <f t="shared" si="63"/>
        <v>0</v>
      </c>
      <c r="AF184" s="321"/>
    </row>
    <row r="185" spans="1:32">
      <c r="B185" t="s">
        <v>766</v>
      </c>
      <c r="C185" s="321">
        <v>0</v>
      </c>
      <c r="D185" s="321">
        <v>0</v>
      </c>
      <c r="E185" s="321">
        <v>0</v>
      </c>
      <c r="F185" s="321">
        <v>0</v>
      </c>
      <c r="G185" s="321">
        <v>0</v>
      </c>
      <c r="H185" s="321">
        <v>0</v>
      </c>
      <c r="I185" s="321">
        <v>0</v>
      </c>
      <c r="J185" s="321">
        <v>0</v>
      </c>
      <c r="K185" s="321">
        <v>0</v>
      </c>
      <c r="L185" s="321">
        <v>0</v>
      </c>
      <c r="M185" s="321">
        <v>0</v>
      </c>
      <c r="N185" s="321">
        <v>0</v>
      </c>
      <c r="O185" s="321">
        <f t="shared" si="56"/>
        <v>0</v>
      </c>
      <c r="Q185" s="321">
        <f t="shared" si="64"/>
        <v>0</v>
      </c>
      <c r="R185" s="321">
        <f t="shared" si="61"/>
        <v>0</v>
      </c>
      <c r="T185" s="321"/>
      <c r="U185" s="321">
        <f t="shared" si="57"/>
        <v>0</v>
      </c>
      <c r="W185" s="321">
        <f t="shared" si="65"/>
        <v>0</v>
      </c>
      <c r="X185" s="321">
        <f t="shared" si="62"/>
        <v>0</v>
      </c>
      <c r="Z185" s="321"/>
      <c r="AA185" s="321">
        <f t="shared" si="55"/>
        <v>0</v>
      </c>
      <c r="AC185" s="321">
        <f t="shared" si="66"/>
        <v>0</v>
      </c>
      <c r="AD185" s="321">
        <f t="shared" si="63"/>
        <v>0</v>
      </c>
      <c r="AF185" s="321"/>
    </row>
    <row r="186" spans="1:32">
      <c r="B186" t="s">
        <v>765</v>
      </c>
      <c r="C186" s="321">
        <v>0</v>
      </c>
      <c r="D186" s="321">
        <v>0</v>
      </c>
      <c r="E186" s="321">
        <v>0</v>
      </c>
      <c r="F186" s="321">
        <v>0</v>
      </c>
      <c r="G186" s="321">
        <v>0</v>
      </c>
      <c r="H186" s="321">
        <v>0</v>
      </c>
      <c r="I186" s="321">
        <v>0</v>
      </c>
      <c r="J186" s="321">
        <v>0</v>
      </c>
      <c r="K186" s="321">
        <v>0</v>
      </c>
      <c r="L186" s="321">
        <v>0</v>
      </c>
      <c r="M186" s="321">
        <v>0</v>
      </c>
      <c r="N186" s="321">
        <v>0</v>
      </c>
      <c r="O186" s="321">
        <f t="shared" si="56"/>
        <v>0</v>
      </c>
      <c r="Q186" s="321">
        <f t="shared" si="64"/>
        <v>0</v>
      </c>
      <c r="R186" s="321">
        <f t="shared" si="61"/>
        <v>0</v>
      </c>
      <c r="T186" s="321"/>
      <c r="U186" s="321">
        <f t="shared" si="57"/>
        <v>0</v>
      </c>
      <c r="W186" s="321">
        <f t="shared" si="65"/>
        <v>0</v>
      </c>
      <c r="X186" s="321">
        <f t="shared" si="62"/>
        <v>0</v>
      </c>
      <c r="Z186" s="321"/>
      <c r="AA186" s="321">
        <f t="shared" si="55"/>
        <v>0</v>
      </c>
      <c r="AC186" s="321">
        <f t="shared" si="66"/>
        <v>0</v>
      </c>
      <c r="AD186" s="321">
        <f t="shared" si="63"/>
        <v>0</v>
      </c>
      <c r="AF186" s="321"/>
    </row>
    <row r="187" spans="1:32">
      <c r="A187" t="s">
        <v>787</v>
      </c>
      <c r="B187" t="s">
        <v>767</v>
      </c>
      <c r="C187" s="321">
        <v>0</v>
      </c>
      <c r="D187" s="321">
        <v>0</v>
      </c>
      <c r="E187" s="321">
        <v>0</v>
      </c>
      <c r="F187" s="321">
        <v>0</v>
      </c>
      <c r="G187" s="321">
        <v>0</v>
      </c>
      <c r="H187" s="321">
        <v>0</v>
      </c>
      <c r="I187" s="321">
        <v>0</v>
      </c>
      <c r="J187" s="321">
        <v>0</v>
      </c>
      <c r="K187" s="321">
        <v>41</v>
      </c>
      <c r="L187" s="321">
        <v>0</v>
      </c>
      <c r="M187" s="321">
        <v>0</v>
      </c>
      <c r="N187" s="321">
        <v>0</v>
      </c>
      <c r="O187" s="321">
        <f t="shared" si="56"/>
        <v>41</v>
      </c>
      <c r="Q187" s="321">
        <f t="shared" si="64"/>
        <v>-41</v>
      </c>
      <c r="R187" s="321">
        <f t="shared" si="61"/>
        <v>0</v>
      </c>
      <c r="T187" s="321"/>
      <c r="U187" s="321">
        <f t="shared" si="57"/>
        <v>41</v>
      </c>
      <c r="W187" s="321">
        <f t="shared" si="65"/>
        <v>-41</v>
      </c>
      <c r="X187" s="321">
        <f t="shared" si="62"/>
        <v>0</v>
      </c>
      <c r="Z187" s="321"/>
      <c r="AA187" s="321">
        <f t="shared" si="55"/>
        <v>0</v>
      </c>
      <c r="AC187" s="321">
        <f t="shared" si="66"/>
        <v>0</v>
      </c>
      <c r="AD187" s="321">
        <f t="shared" si="63"/>
        <v>0</v>
      </c>
      <c r="AF187" s="321"/>
    </row>
    <row r="188" spans="1:32">
      <c r="B188" t="s">
        <v>766</v>
      </c>
      <c r="C188" s="321">
        <v>0</v>
      </c>
      <c r="D188" s="321">
        <v>0</v>
      </c>
      <c r="E188" s="321">
        <v>0</v>
      </c>
      <c r="F188" s="321">
        <v>0</v>
      </c>
      <c r="G188" s="321">
        <v>0</v>
      </c>
      <c r="H188" s="321">
        <v>0</v>
      </c>
      <c r="I188" s="321">
        <v>0</v>
      </c>
      <c r="J188" s="321">
        <v>0</v>
      </c>
      <c r="K188" s="321">
        <v>6</v>
      </c>
      <c r="L188" s="321">
        <v>0</v>
      </c>
      <c r="M188" s="321">
        <v>0</v>
      </c>
      <c r="N188" s="321">
        <v>0</v>
      </c>
      <c r="O188" s="321">
        <f t="shared" si="56"/>
        <v>6</v>
      </c>
      <c r="Q188" s="321">
        <f t="shared" si="64"/>
        <v>-6</v>
      </c>
      <c r="R188" s="321">
        <f t="shared" si="61"/>
        <v>0</v>
      </c>
      <c r="T188" s="321"/>
      <c r="U188" s="321">
        <f t="shared" si="57"/>
        <v>6</v>
      </c>
      <c r="W188" s="321">
        <f t="shared" si="65"/>
        <v>-6</v>
      </c>
      <c r="X188" s="321">
        <f t="shared" si="62"/>
        <v>0</v>
      </c>
      <c r="Z188" s="321"/>
      <c r="AA188" s="321">
        <f t="shared" si="55"/>
        <v>0</v>
      </c>
      <c r="AC188" s="321">
        <f t="shared" si="66"/>
        <v>0</v>
      </c>
      <c r="AD188" s="321">
        <f t="shared" si="63"/>
        <v>0</v>
      </c>
      <c r="AF188" s="321"/>
    </row>
    <row r="189" spans="1:32">
      <c r="B189" t="s">
        <v>765</v>
      </c>
      <c r="C189" s="321">
        <v>0</v>
      </c>
      <c r="D189" s="321">
        <v>0</v>
      </c>
      <c r="E189" s="321">
        <v>0</v>
      </c>
      <c r="F189" s="321">
        <v>0</v>
      </c>
      <c r="G189" s="321">
        <v>0</v>
      </c>
      <c r="H189" s="321">
        <v>0</v>
      </c>
      <c r="I189" s="321">
        <v>0</v>
      </c>
      <c r="J189" s="321">
        <v>0</v>
      </c>
      <c r="K189" s="321">
        <v>5</v>
      </c>
      <c r="L189" s="321">
        <v>0</v>
      </c>
      <c r="M189" s="321">
        <v>0</v>
      </c>
      <c r="N189" s="321">
        <v>0</v>
      </c>
      <c r="O189" s="321">
        <f t="shared" si="56"/>
        <v>5</v>
      </c>
      <c r="Q189" s="321">
        <f t="shared" si="64"/>
        <v>-5</v>
      </c>
      <c r="R189" s="321">
        <f t="shared" si="61"/>
        <v>0</v>
      </c>
      <c r="T189" s="321"/>
      <c r="U189" s="321">
        <f t="shared" si="57"/>
        <v>5</v>
      </c>
      <c r="W189" s="321">
        <f t="shared" si="65"/>
        <v>-5</v>
      </c>
      <c r="X189" s="321">
        <f t="shared" si="62"/>
        <v>0</v>
      </c>
      <c r="Z189" s="321"/>
      <c r="AA189" s="321">
        <f t="shared" si="55"/>
        <v>0</v>
      </c>
      <c r="AC189" s="321">
        <f t="shared" si="66"/>
        <v>0</v>
      </c>
      <c r="AD189" s="321">
        <f t="shared" si="63"/>
        <v>0</v>
      </c>
      <c r="AF189" s="321"/>
    </row>
    <row r="190" spans="1:32">
      <c r="A190" t="s">
        <v>786</v>
      </c>
      <c r="B190" t="s">
        <v>767</v>
      </c>
      <c r="C190" s="321">
        <v>0</v>
      </c>
      <c r="D190" s="321">
        <v>0</v>
      </c>
      <c r="E190" s="321">
        <v>0</v>
      </c>
      <c r="F190" s="321">
        <v>0</v>
      </c>
      <c r="G190" s="321">
        <v>0</v>
      </c>
      <c r="H190" s="321">
        <v>0</v>
      </c>
      <c r="I190" s="321">
        <v>0</v>
      </c>
      <c r="J190" s="321">
        <v>0</v>
      </c>
      <c r="K190" s="321">
        <v>0</v>
      </c>
      <c r="L190" s="321">
        <v>0</v>
      </c>
      <c r="M190" s="321">
        <v>0</v>
      </c>
      <c r="N190" s="321">
        <v>0</v>
      </c>
      <c r="O190" s="321">
        <f t="shared" si="56"/>
        <v>0</v>
      </c>
      <c r="Q190" s="321">
        <f t="shared" si="64"/>
        <v>0</v>
      </c>
      <c r="R190" s="321">
        <f t="shared" si="61"/>
        <v>0</v>
      </c>
      <c r="T190" s="321"/>
      <c r="U190" s="321">
        <f t="shared" si="57"/>
        <v>0</v>
      </c>
      <c r="W190" s="321">
        <f t="shared" si="65"/>
        <v>0</v>
      </c>
      <c r="X190" s="321">
        <f t="shared" si="62"/>
        <v>0</v>
      </c>
      <c r="Z190" s="321"/>
      <c r="AA190" s="321">
        <f t="shared" si="55"/>
        <v>0</v>
      </c>
      <c r="AC190" s="321">
        <f t="shared" si="66"/>
        <v>0</v>
      </c>
      <c r="AD190" s="321">
        <f t="shared" si="63"/>
        <v>0</v>
      </c>
      <c r="AF190" s="321"/>
    </row>
    <row r="191" spans="1:32">
      <c r="B191" t="s">
        <v>766</v>
      </c>
      <c r="C191" s="321">
        <v>0</v>
      </c>
      <c r="D191" s="321">
        <v>0</v>
      </c>
      <c r="E191" s="321">
        <v>0</v>
      </c>
      <c r="F191" s="321">
        <v>0</v>
      </c>
      <c r="G191" s="321">
        <v>0</v>
      </c>
      <c r="H191" s="321">
        <v>0</v>
      </c>
      <c r="I191" s="321">
        <v>0</v>
      </c>
      <c r="J191" s="321">
        <v>0</v>
      </c>
      <c r="K191" s="321">
        <v>0</v>
      </c>
      <c r="L191" s="321">
        <v>0</v>
      </c>
      <c r="M191" s="321">
        <v>0</v>
      </c>
      <c r="N191" s="321">
        <v>0</v>
      </c>
      <c r="O191" s="321">
        <f t="shared" si="56"/>
        <v>0</v>
      </c>
      <c r="Q191" s="321">
        <f t="shared" si="64"/>
        <v>0</v>
      </c>
      <c r="R191" s="321">
        <f t="shared" si="61"/>
        <v>0</v>
      </c>
      <c r="T191" s="321"/>
      <c r="U191" s="321">
        <f t="shared" si="57"/>
        <v>0</v>
      </c>
      <c r="W191" s="321">
        <f t="shared" si="65"/>
        <v>0</v>
      </c>
      <c r="X191" s="321">
        <f t="shared" si="62"/>
        <v>0</v>
      </c>
      <c r="Z191" s="321"/>
      <c r="AA191" s="321">
        <f t="shared" si="55"/>
        <v>0</v>
      </c>
      <c r="AC191" s="321">
        <f t="shared" si="66"/>
        <v>0</v>
      </c>
      <c r="AD191" s="321">
        <f t="shared" si="63"/>
        <v>0</v>
      </c>
      <c r="AF191" s="321"/>
    </row>
    <row r="192" spans="1:32">
      <c r="B192" t="s">
        <v>765</v>
      </c>
      <c r="C192" s="321">
        <v>0</v>
      </c>
      <c r="D192" s="321">
        <v>0</v>
      </c>
      <c r="E192" s="321">
        <v>0</v>
      </c>
      <c r="F192" s="321">
        <v>0</v>
      </c>
      <c r="G192" s="321">
        <v>0</v>
      </c>
      <c r="H192" s="321">
        <v>0</v>
      </c>
      <c r="I192" s="321">
        <v>0</v>
      </c>
      <c r="J192" s="321">
        <v>0</v>
      </c>
      <c r="K192" s="321">
        <v>0</v>
      </c>
      <c r="L192" s="321">
        <v>0</v>
      </c>
      <c r="M192" s="321">
        <v>0</v>
      </c>
      <c r="N192" s="321">
        <v>0</v>
      </c>
      <c r="O192" s="321">
        <f t="shared" si="56"/>
        <v>0</v>
      </c>
      <c r="Q192" s="321">
        <f t="shared" si="64"/>
        <v>0</v>
      </c>
      <c r="R192" s="321">
        <f t="shared" si="61"/>
        <v>0</v>
      </c>
      <c r="T192" s="321"/>
      <c r="U192" s="321">
        <f t="shared" si="57"/>
        <v>0</v>
      </c>
      <c r="W192" s="321">
        <f t="shared" si="65"/>
        <v>0</v>
      </c>
      <c r="X192" s="321">
        <f t="shared" si="62"/>
        <v>0</v>
      </c>
      <c r="Z192" s="321"/>
      <c r="AA192" s="321">
        <f t="shared" si="55"/>
        <v>0</v>
      </c>
      <c r="AC192" s="321">
        <f t="shared" si="66"/>
        <v>0</v>
      </c>
      <c r="AD192" s="321">
        <f t="shared" si="63"/>
        <v>0</v>
      </c>
      <c r="AF192" s="321"/>
    </row>
    <row r="193" spans="1:32">
      <c r="A193" s="83" t="s">
        <v>1287</v>
      </c>
      <c r="B193" t="s">
        <v>767</v>
      </c>
      <c r="C193" s="321">
        <v>0</v>
      </c>
      <c r="D193" s="321">
        <v>0</v>
      </c>
      <c r="E193" s="321">
        <v>0</v>
      </c>
      <c r="F193" s="321">
        <v>0</v>
      </c>
      <c r="G193" s="321">
        <v>0</v>
      </c>
      <c r="H193" s="321">
        <v>0</v>
      </c>
      <c r="I193" s="321">
        <v>0</v>
      </c>
      <c r="J193" s="321">
        <v>0</v>
      </c>
      <c r="K193" s="321">
        <v>475</v>
      </c>
      <c r="L193" s="321">
        <v>0</v>
      </c>
      <c r="M193" s="321">
        <v>0</v>
      </c>
      <c r="N193" s="321">
        <v>0</v>
      </c>
      <c r="O193" s="321">
        <f t="shared" ref="O193:O195" si="67">SUM(C193:N193)</f>
        <v>475</v>
      </c>
      <c r="R193" s="321">
        <f t="shared" ref="R193:R195" si="68">+O193+Q193</f>
        <v>475</v>
      </c>
      <c r="T193" s="321"/>
      <c r="U193" s="321">
        <f t="shared" si="57"/>
        <v>475</v>
      </c>
      <c r="X193" s="321">
        <f t="shared" ref="X193:X195" si="69">+U193+W193</f>
        <v>475</v>
      </c>
      <c r="Z193" s="321"/>
      <c r="AA193" s="321">
        <f t="shared" si="55"/>
        <v>0</v>
      </c>
      <c r="AD193" s="321">
        <f t="shared" ref="AD193:AD195" si="70">+AA193+AC193</f>
        <v>0</v>
      </c>
      <c r="AF193" s="321"/>
    </row>
    <row r="194" spans="1:32">
      <c r="B194" t="s">
        <v>766</v>
      </c>
      <c r="C194" s="321">
        <v>0</v>
      </c>
      <c r="D194" s="321">
        <v>0</v>
      </c>
      <c r="E194" s="321">
        <v>0</v>
      </c>
      <c r="F194" s="321">
        <v>0</v>
      </c>
      <c r="G194" s="321">
        <v>0</v>
      </c>
      <c r="H194" s="321">
        <v>0</v>
      </c>
      <c r="I194" s="321">
        <v>0</v>
      </c>
      <c r="J194" s="321">
        <v>0</v>
      </c>
      <c r="K194" s="321">
        <v>0</v>
      </c>
      <c r="L194" s="321">
        <v>0</v>
      </c>
      <c r="M194" s="321">
        <v>0</v>
      </c>
      <c r="N194" s="321">
        <v>0</v>
      </c>
      <c r="O194" s="321">
        <f t="shared" si="67"/>
        <v>0</v>
      </c>
      <c r="R194" s="321">
        <f t="shared" si="68"/>
        <v>0</v>
      </c>
      <c r="T194" s="321"/>
      <c r="U194" s="321">
        <f t="shared" si="57"/>
        <v>0</v>
      </c>
      <c r="X194" s="321">
        <f t="shared" si="69"/>
        <v>0</v>
      </c>
      <c r="Z194" s="321"/>
      <c r="AA194" s="321">
        <f t="shared" si="55"/>
        <v>0</v>
      </c>
      <c r="AD194" s="321">
        <f t="shared" si="70"/>
        <v>0</v>
      </c>
      <c r="AF194" s="321"/>
    </row>
    <row r="195" spans="1:32">
      <c r="B195" t="s">
        <v>765</v>
      </c>
      <c r="C195" s="321">
        <v>0</v>
      </c>
      <c r="D195" s="321">
        <v>0</v>
      </c>
      <c r="E195" s="321">
        <v>0</v>
      </c>
      <c r="F195" s="321">
        <v>0</v>
      </c>
      <c r="G195" s="321">
        <v>0</v>
      </c>
      <c r="H195" s="321">
        <v>0</v>
      </c>
      <c r="I195" s="321">
        <v>0</v>
      </c>
      <c r="J195" s="321">
        <v>0</v>
      </c>
      <c r="K195" s="321">
        <v>0</v>
      </c>
      <c r="L195" s="321">
        <v>0</v>
      </c>
      <c r="M195" s="321">
        <v>0</v>
      </c>
      <c r="N195" s="321">
        <v>0</v>
      </c>
      <c r="O195" s="321">
        <f t="shared" si="67"/>
        <v>0</v>
      </c>
      <c r="R195" s="321">
        <f t="shared" si="68"/>
        <v>0</v>
      </c>
      <c r="T195" s="321"/>
      <c r="U195" s="321">
        <f t="shared" si="57"/>
        <v>0</v>
      </c>
      <c r="X195" s="321">
        <f t="shared" si="69"/>
        <v>0</v>
      </c>
      <c r="Z195" s="321"/>
      <c r="AA195" s="321">
        <f t="shared" si="55"/>
        <v>0</v>
      </c>
      <c r="AD195" s="321">
        <f t="shared" si="70"/>
        <v>0</v>
      </c>
      <c r="AF195" s="321"/>
    </row>
    <row r="196" spans="1:32">
      <c r="A196" t="s">
        <v>785</v>
      </c>
      <c r="B196" t="s">
        <v>767</v>
      </c>
      <c r="C196" s="321">
        <v>0</v>
      </c>
      <c r="D196" s="321">
        <v>0</v>
      </c>
      <c r="E196" s="321">
        <v>0</v>
      </c>
      <c r="F196" s="321">
        <v>0</v>
      </c>
      <c r="G196" s="321">
        <v>0</v>
      </c>
      <c r="H196" s="321">
        <v>0</v>
      </c>
      <c r="I196" s="321">
        <v>0</v>
      </c>
      <c r="J196" s="321">
        <v>0</v>
      </c>
      <c r="K196" s="321">
        <v>11</v>
      </c>
      <c r="L196" s="321">
        <v>0</v>
      </c>
      <c r="M196" s="321">
        <v>0</v>
      </c>
      <c r="N196" s="321">
        <v>0</v>
      </c>
      <c r="O196" s="321">
        <f t="shared" si="56"/>
        <v>11</v>
      </c>
      <c r="Q196" s="321">
        <f t="shared" ref="Q196:Q204" si="71">-O196</f>
        <v>-11</v>
      </c>
      <c r="R196" s="321">
        <f t="shared" si="61"/>
        <v>0</v>
      </c>
      <c r="T196" s="321"/>
      <c r="U196" s="321">
        <f t="shared" si="57"/>
        <v>11</v>
      </c>
      <c r="W196" s="321">
        <f t="shared" ref="W196:W204" si="72">-U196</f>
        <v>-11</v>
      </c>
      <c r="X196" s="321">
        <f t="shared" si="62"/>
        <v>0</v>
      </c>
      <c r="Z196" s="321"/>
      <c r="AA196" s="321">
        <f t="shared" si="55"/>
        <v>0</v>
      </c>
      <c r="AC196" s="321">
        <f t="shared" ref="AC196:AC204" si="73">-AA196</f>
        <v>0</v>
      </c>
      <c r="AD196" s="321">
        <f t="shared" si="63"/>
        <v>0</v>
      </c>
      <c r="AF196" s="321"/>
    </row>
    <row r="197" spans="1:32">
      <c r="B197" t="s">
        <v>766</v>
      </c>
      <c r="C197" s="321">
        <v>0</v>
      </c>
      <c r="D197" s="321">
        <v>0</v>
      </c>
      <c r="E197" s="321">
        <v>0</v>
      </c>
      <c r="F197" s="321">
        <v>0</v>
      </c>
      <c r="G197" s="321">
        <v>0</v>
      </c>
      <c r="H197" s="321">
        <v>0</v>
      </c>
      <c r="I197" s="321">
        <v>0</v>
      </c>
      <c r="J197" s="321">
        <v>0</v>
      </c>
      <c r="K197" s="321">
        <v>0</v>
      </c>
      <c r="L197" s="321">
        <v>0</v>
      </c>
      <c r="M197" s="321">
        <v>0</v>
      </c>
      <c r="N197" s="321">
        <v>0</v>
      </c>
      <c r="O197" s="321">
        <f t="shared" si="56"/>
        <v>0</v>
      </c>
      <c r="Q197" s="321">
        <f t="shared" si="71"/>
        <v>0</v>
      </c>
      <c r="R197" s="321">
        <f t="shared" si="61"/>
        <v>0</v>
      </c>
      <c r="T197" s="321"/>
      <c r="U197" s="321">
        <f t="shared" si="57"/>
        <v>0</v>
      </c>
      <c r="W197" s="321">
        <f t="shared" si="72"/>
        <v>0</v>
      </c>
      <c r="X197" s="321">
        <f t="shared" si="62"/>
        <v>0</v>
      </c>
      <c r="Z197" s="321"/>
      <c r="AA197" s="321">
        <f t="shared" si="55"/>
        <v>0</v>
      </c>
      <c r="AC197" s="321">
        <f t="shared" si="73"/>
        <v>0</v>
      </c>
      <c r="AD197" s="321">
        <f t="shared" si="63"/>
        <v>0</v>
      </c>
      <c r="AF197" s="321"/>
    </row>
    <row r="198" spans="1:32">
      <c r="B198" t="s">
        <v>765</v>
      </c>
      <c r="C198" s="321">
        <v>0</v>
      </c>
      <c r="D198" s="321">
        <v>0</v>
      </c>
      <c r="E198" s="321">
        <v>0</v>
      </c>
      <c r="F198" s="321">
        <v>0</v>
      </c>
      <c r="G198" s="321">
        <v>0</v>
      </c>
      <c r="H198" s="321">
        <v>0</v>
      </c>
      <c r="I198" s="321">
        <v>0</v>
      </c>
      <c r="J198" s="321">
        <v>0</v>
      </c>
      <c r="K198" s="321">
        <v>0</v>
      </c>
      <c r="L198" s="321">
        <v>0</v>
      </c>
      <c r="M198" s="321">
        <v>0</v>
      </c>
      <c r="N198" s="321">
        <v>0</v>
      </c>
      <c r="O198" s="321">
        <f t="shared" si="56"/>
        <v>0</v>
      </c>
      <c r="Q198" s="321">
        <f t="shared" si="71"/>
        <v>0</v>
      </c>
      <c r="R198" s="321">
        <f t="shared" si="61"/>
        <v>0</v>
      </c>
      <c r="T198" s="321"/>
      <c r="U198" s="321">
        <f t="shared" si="57"/>
        <v>0</v>
      </c>
      <c r="W198" s="321">
        <f t="shared" si="72"/>
        <v>0</v>
      </c>
      <c r="X198" s="321">
        <f t="shared" si="62"/>
        <v>0</v>
      </c>
      <c r="Z198" s="321"/>
      <c r="AA198" s="321">
        <f t="shared" si="55"/>
        <v>0</v>
      </c>
      <c r="AC198" s="321">
        <f t="shared" si="73"/>
        <v>0</v>
      </c>
      <c r="AD198" s="321">
        <f t="shared" si="63"/>
        <v>0</v>
      </c>
      <c r="AF198" s="321"/>
    </row>
    <row r="199" spans="1:32">
      <c r="A199" t="s">
        <v>784</v>
      </c>
      <c r="B199" t="s">
        <v>767</v>
      </c>
      <c r="C199" s="321">
        <v>0</v>
      </c>
      <c r="D199" s="321">
        <v>0</v>
      </c>
      <c r="E199" s="321">
        <v>0</v>
      </c>
      <c r="F199" s="321">
        <v>0</v>
      </c>
      <c r="G199" s="321">
        <v>0</v>
      </c>
      <c r="H199" s="321">
        <v>0</v>
      </c>
      <c r="I199" s="321">
        <v>0</v>
      </c>
      <c r="J199" s="321">
        <v>0</v>
      </c>
      <c r="K199" s="321">
        <v>8</v>
      </c>
      <c r="L199" s="321">
        <v>0</v>
      </c>
      <c r="M199" s="321">
        <v>0</v>
      </c>
      <c r="N199" s="321">
        <v>0</v>
      </c>
      <c r="O199" s="321">
        <f t="shared" si="56"/>
        <v>8</v>
      </c>
      <c r="Q199" s="321">
        <f t="shared" si="71"/>
        <v>-8</v>
      </c>
      <c r="R199" s="321">
        <f t="shared" si="61"/>
        <v>0</v>
      </c>
      <c r="T199" s="321"/>
      <c r="U199" s="321">
        <f t="shared" si="57"/>
        <v>8</v>
      </c>
      <c r="W199" s="321">
        <f t="shared" si="72"/>
        <v>-8</v>
      </c>
      <c r="X199" s="321">
        <f t="shared" si="62"/>
        <v>0</v>
      </c>
      <c r="Z199" s="321"/>
      <c r="AA199" s="321">
        <f t="shared" si="55"/>
        <v>0</v>
      </c>
      <c r="AC199" s="321">
        <f t="shared" si="73"/>
        <v>0</v>
      </c>
      <c r="AD199" s="321">
        <f t="shared" si="63"/>
        <v>0</v>
      </c>
      <c r="AF199" s="321"/>
    </row>
    <row r="200" spans="1:32">
      <c r="B200" t="s">
        <v>766</v>
      </c>
      <c r="C200" s="321">
        <v>0</v>
      </c>
      <c r="D200" s="321">
        <v>0</v>
      </c>
      <c r="E200" s="321">
        <v>0</v>
      </c>
      <c r="F200" s="321">
        <v>0</v>
      </c>
      <c r="G200" s="321">
        <v>0</v>
      </c>
      <c r="H200" s="321">
        <v>0</v>
      </c>
      <c r="I200" s="321">
        <v>0</v>
      </c>
      <c r="J200" s="321">
        <v>0</v>
      </c>
      <c r="K200" s="321">
        <v>0</v>
      </c>
      <c r="L200" s="321">
        <v>0</v>
      </c>
      <c r="M200" s="321">
        <v>0</v>
      </c>
      <c r="N200" s="321">
        <v>0</v>
      </c>
      <c r="O200" s="321">
        <f t="shared" si="56"/>
        <v>0</v>
      </c>
      <c r="Q200" s="321">
        <f t="shared" si="71"/>
        <v>0</v>
      </c>
      <c r="R200" s="321">
        <f t="shared" si="61"/>
        <v>0</v>
      </c>
      <c r="T200" s="321"/>
      <c r="U200" s="321">
        <f t="shared" si="57"/>
        <v>0</v>
      </c>
      <c r="W200" s="321">
        <f t="shared" si="72"/>
        <v>0</v>
      </c>
      <c r="X200" s="321">
        <f t="shared" si="62"/>
        <v>0</v>
      </c>
      <c r="Z200" s="321"/>
      <c r="AA200" s="321">
        <f t="shared" ref="AA200:AA269" si="74">+N200</f>
        <v>0</v>
      </c>
      <c r="AC200" s="321">
        <f t="shared" si="73"/>
        <v>0</v>
      </c>
      <c r="AD200" s="321">
        <f t="shared" si="63"/>
        <v>0</v>
      </c>
      <c r="AF200" s="321"/>
    </row>
    <row r="201" spans="1:32">
      <c r="B201" t="s">
        <v>765</v>
      </c>
      <c r="C201" s="321">
        <v>0</v>
      </c>
      <c r="D201" s="321">
        <v>0</v>
      </c>
      <c r="E201" s="321">
        <v>0</v>
      </c>
      <c r="F201" s="321">
        <v>0</v>
      </c>
      <c r="G201" s="321">
        <v>0</v>
      </c>
      <c r="H201" s="321">
        <v>0</v>
      </c>
      <c r="I201" s="321">
        <v>0</v>
      </c>
      <c r="J201" s="321">
        <v>0</v>
      </c>
      <c r="K201" s="321">
        <v>3</v>
      </c>
      <c r="L201" s="321">
        <v>0</v>
      </c>
      <c r="M201" s="321">
        <v>0</v>
      </c>
      <c r="N201" s="321">
        <v>0</v>
      </c>
      <c r="O201" s="321">
        <f t="shared" si="56"/>
        <v>3</v>
      </c>
      <c r="Q201" s="321">
        <f t="shared" si="71"/>
        <v>-3</v>
      </c>
      <c r="R201" s="321">
        <f t="shared" si="61"/>
        <v>0</v>
      </c>
      <c r="T201" s="321"/>
      <c r="U201" s="321">
        <f t="shared" si="57"/>
        <v>3</v>
      </c>
      <c r="W201" s="321">
        <f t="shared" si="72"/>
        <v>-3</v>
      </c>
      <c r="X201" s="321">
        <f t="shared" si="62"/>
        <v>0</v>
      </c>
      <c r="Z201" s="321"/>
      <c r="AA201" s="321">
        <f t="shared" si="74"/>
        <v>0</v>
      </c>
      <c r="AC201" s="321">
        <f t="shared" si="73"/>
        <v>0</v>
      </c>
      <c r="AD201" s="321">
        <f t="shared" si="63"/>
        <v>0</v>
      </c>
      <c r="AF201" s="321"/>
    </row>
    <row r="202" spans="1:32">
      <c r="A202" t="s">
        <v>783</v>
      </c>
      <c r="B202" t="s">
        <v>767</v>
      </c>
      <c r="C202" s="321">
        <v>0</v>
      </c>
      <c r="D202" s="321">
        <v>0</v>
      </c>
      <c r="E202" s="321">
        <v>0</v>
      </c>
      <c r="F202" s="321">
        <v>0</v>
      </c>
      <c r="G202" s="321">
        <v>0</v>
      </c>
      <c r="H202" s="321">
        <v>0</v>
      </c>
      <c r="I202" s="321">
        <v>0</v>
      </c>
      <c r="J202" s="321">
        <v>0</v>
      </c>
      <c r="K202" s="321">
        <v>0</v>
      </c>
      <c r="L202" s="321">
        <v>0</v>
      </c>
      <c r="M202" s="321">
        <v>0</v>
      </c>
      <c r="N202" s="321">
        <v>0</v>
      </c>
      <c r="O202" s="321">
        <f t="shared" si="56"/>
        <v>0</v>
      </c>
      <c r="Q202" s="321">
        <f t="shared" si="71"/>
        <v>0</v>
      </c>
      <c r="R202" s="321">
        <f t="shared" si="61"/>
        <v>0</v>
      </c>
      <c r="T202" s="321"/>
      <c r="U202" s="321">
        <f t="shared" si="57"/>
        <v>0</v>
      </c>
      <c r="W202" s="321">
        <f t="shared" si="72"/>
        <v>0</v>
      </c>
      <c r="X202" s="321">
        <f t="shared" si="62"/>
        <v>0</v>
      </c>
      <c r="Z202" s="321"/>
      <c r="AA202" s="321">
        <f t="shared" si="74"/>
        <v>0</v>
      </c>
      <c r="AC202" s="321">
        <f t="shared" si="73"/>
        <v>0</v>
      </c>
      <c r="AD202" s="321">
        <f t="shared" si="63"/>
        <v>0</v>
      </c>
      <c r="AF202" s="321"/>
    </row>
    <row r="203" spans="1:32">
      <c r="B203" t="s">
        <v>766</v>
      </c>
      <c r="C203" s="321">
        <v>0</v>
      </c>
      <c r="D203" s="321">
        <v>0</v>
      </c>
      <c r="E203" s="321">
        <v>0</v>
      </c>
      <c r="F203" s="321">
        <v>0</v>
      </c>
      <c r="G203" s="321">
        <v>0</v>
      </c>
      <c r="H203" s="321">
        <v>0</v>
      </c>
      <c r="I203" s="321">
        <v>0</v>
      </c>
      <c r="J203" s="321">
        <v>0</v>
      </c>
      <c r="K203" s="321">
        <v>0</v>
      </c>
      <c r="L203" s="321">
        <v>0</v>
      </c>
      <c r="M203" s="321">
        <v>0</v>
      </c>
      <c r="N203" s="321">
        <v>0</v>
      </c>
      <c r="O203" s="321">
        <f t="shared" si="56"/>
        <v>0</v>
      </c>
      <c r="Q203" s="321">
        <f t="shared" si="71"/>
        <v>0</v>
      </c>
      <c r="R203" s="321">
        <f t="shared" si="61"/>
        <v>0</v>
      </c>
      <c r="T203" s="321"/>
      <c r="U203" s="321">
        <f t="shared" ref="U203:U266" si="75">+K203</f>
        <v>0</v>
      </c>
      <c r="W203" s="321">
        <f t="shared" si="72"/>
        <v>0</v>
      </c>
      <c r="X203" s="321">
        <f t="shared" si="62"/>
        <v>0</v>
      </c>
      <c r="Z203" s="321"/>
      <c r="AA203" s="321">
        <f t="shared" si="74"/>
        <v>0</v>
      </c>
      <c r="AC203" s="321">
        <f t="shared" si="73"/>
        <v>0</v>
      </c>
      <c r="AD203" s="321">
        <f t="shared" si="63"/>
        <v>0</v>
      </c>
      <c r="AF203" s="321"/>
    </row>
    <row r="204" spans="1:32">
      <c r="B204" t="s">
        <v>765</v>
      </c>
      <c r="C204" s="321">
        <v>0</v>
      </c>
      <c r="D204" s="321">
        <v>0</v>
      </c>
      <c r="E204" s="321">
        <v>0</v>
      </c>
      <c r="F204" s="321">
        <v>0</v>
      </c>
      <c r="G204" s="321">
        <v>0</v>
      </c>
      <c r="H204" s="321">
        <v>0</v>
      </c>
      <c r="I204" s="321">
        <v>0</v>
      </c>
      <c r="J204" s="321">
        <v>0</v>
      </c>
      <c r="K204" s="321">
        <v>0</v>
      </c>
      <c r="L204" s="321">
        <v>0</v>
      </c>
      <c r="M204" s="321">
        <v>0</v>
      </c>
      <c r="N204" s="321">
        <v>0</v>
      </c>
      <c r="O204" s="321">
        <f t="shared" si="56"/>
        <v>0</v>
      </c>
      <c r="Q204" s="321">
        <f t="shared" si="71"/>
        <v>0</v>
      </c>
      <c r="R204" s="321">
        <f t="shared" si="61"/>
        <v>0</v>
      </c>
      <c r="T204" s="321"/>
      <c r="U204" s="321">
        <f t="shared" si="75"/>
        <v>0</v>
      </c>
      <c r="W204" s="321">
        <f t="shared" si="72"/>
        <v>0</v>
      </c>
      <c r="X204" s="321">
        <f t="shared" si="62"/>
        <v>0</v>
      </c>
      <c r="Z204" s="321"/>
      <c r="AA204" s="321">
        <f t="shared" si="74"/>
        <v>0</v>
      </c>
      <c r="AC204" s="321">
        <f t="shared" si="73"/>
        <v>0</v>
      </c>
      <c r="AD204" s="321">
        <f t="shared" si="63"/>
        <v>0</v>
      </c>
      <c r="AF204" s="321"/>
    </row>
    <row r="205" spans="1:32">
      <c r="A205" t="s">
        <v>782</v>
      </c>
      <c r="B205" t="s">
        <v>767</v>
      </c>
      <c r="C205" s="321">
        <v>0</v>
      </c>
      <c r="D205" s="321">
        <v>0</v>
      </c>
      <c r="E205" s="321">
        <v>0</v>
      </c>
      <c r="F205" s="321">
        <v>0</v>
      </c>
      <c r="G205" s="321">
        <v>0</v>
      </c>
      <c r="H205" s="321">
        <v>0</v>
      </c>
      <c r="I205" s="321">
        <v>0</v>
      </c>
      <c r="J205" s="321">
        <v>0</v>
      </c>
      <c r="K205" s="321">
        <v>0</v>
      </c>
      <c r="L205" s="321">
        <v>0</v>
      </c>
      <c r="M205" s="321">
        <v>0</v>
      </c>
      <c r="N205" s="321">
        <v>0</v>
      </c>
      <c r="O205" s="321">
        <f t="shared" ref="O205:O274" si="76">SUM(C205:N205)</f>
        <v>0</v>
      </c>
      <c r="R205" s="321">
        <f t="shared" si="61"/>
        <v>0</v>
      </c>
      <c r="T205" s="321"/>
      <c r="U205" s="321">
        <f t="shared" si="75"/>
        <v>0</v>
      </c>
      <c r="X205" s="321">
        <f t="shared" si="62"/>
        <v>0</v>
      </c>
      <c r="Z205" s="321"/>
      <c r="AA205" s="321">
        <f t="shared" si="74"/>
        <v>0</v>
      </c>
      <c r="AD205" s="321">
        <f t="shared" si="63"/>
        <v>0</v>
      </c>
      <c r="AF205" s="321"/>
    </row>
    <row r="206" spans="1:32">
      <c r="B206" t="s">
        <v>766</v>
      </c>
      <c r="C206" s="321">
        <v>0</v>
      </c>
      <c r="D206" s="321">
        <v>0</v>
      </c>
      <c r="E206" s="321">
        <v>0</v>
      </c>
      <c r="F206" s="321">
        <v>0</v>
      </c>
      <c r="G206" s="321">
        <v>0</v>
      </c>
      <c r="H206" s="321">
        <v>0</v>
      </c>
      <c r="I206" s="321">
        <v>0</v>
      </c>
      <c r="J206" s="321">
        <v>0</v>
      </c>
      <c r="K206" s="321">
        <v>0</v>
      </c>
      <c r="L206" s="321">
        <v>0</v>
      </c>
      <c r="M206" s="321">
        <v>0</v>
      </c>
      <c r="N206" s="321">
        <v>0</v>
      </c>
      <c r="O206" s="321">
        <f t="shared" si="76"/>
        <v>0</v>
      </c>
      <c r="R206" s="321">
        <f t="shared" si="61"/>
        <v>0</v>
      </c>
      <c r="T206" s="321"/>
      <c r="U206" s="321">
        <f t="shared" si="75"/>
        <v>0</v>
      </c>
      <c r="X206" s="321">
        <f t="shared" si="62"/>
        <v>0</v>
      </c>
      <c r="Z206" s="321"/>
      <c r="AA206" s="321">
        <f t="shared" si="74"/>
        <v>0</v>
      </c>
      <c r="AD206" s="321">
        <f t="shared" si="63"/>
        <v>0</v>
      </c>
      <c r="AF206" s="321"/>
    </row>
    <row r="207" spans="1:32">
      <c r="B207" t="s">
        <v>765</v>
      </c>
      <c r="C207" s="321">
        <v>0</v>
      </c>
      <c r="D207" s="321">
        <v>0</v>
      </c>
      <c r="E207" s="321">
        <v>0</v>
      </c>
      <c r="F207" s="321">
        <v>0</v>
      </c>
      <c r="G207" s="321">
        <v>0</v>
      </c>
      <c r="H207" s="321">
        <v>0</v>
      </c>
      <c r="I207" s="321">
        <v>0</v>
      </c>
      <c r="J207" s="321">
        <v>0</v>
      </c>
      <c r="K207" s="321">
        <v>0</v>
      </c>
      <c r="L207" s="321">
        <v>0</v>
      </c>
      <c r="M207" s="321">
        <v>0</v>
      </c>
      <c r="N207" s="321">
        <v>0</v>
      </c>
      <c r="O207" s="321">
        <f t="shared" si="76"/>
        <v>0</v>
      </c>
      <c r="R207" s="321">
        <f t="shared" si="61"/>
        <v>0</v>
      </c>
      <c r="T207" s="321"/>
      <c r="U207" s="321">
        <f t="shared" si="75"/>
        <v>0</v>
      </c>
      <c r="X207" s="321">
        <f t="shared" si="62"/>
        <v>0</v>
      </c>
      <c r="Z207" s="321"/>
      <c r="AA207" s="321">
        <f t="shared" si="74"/>
        <v>0</v>
      </c>
      <c r="AD207" s="321">
        <f t="shared" si="63"/>
        <v>0</v>
      </c>
      <c r="AF207" s="321"/>
    </row>
    <row r="208" spans="1:32">
      <c r="A208" t="s">
        <v>781</v>
      </c>
      <c r="B208" t="s">
        <v>767</v>
      </c>
      <c r="C208" s="321">
        <v>0</v>
      </c>
      <c r="D208" s="321">
        <v>0</v>
      </c>
      <c r="E208" s="321">
        <v>0</v>
      </c>
      <c r="F208" s="321">
        <v>0</v>
      </c>
      <c r="G208" s="321">
        <v>0</v>
      </c>
      <c r="H208" s="321">
        <v>0</v>
      </c>
      <c r="I208" s="321">
        <v>0</v>
      </c>
      <c r="J208" s="321">
        <v>0</v>
      </c>
      <c r="K208" s="321">
        <v>90</v>
      </c>
      <c r="L208" s="321">
        <v>0</v>
      </c>
      <c r="M208" s="321">
        <v>0</v>
      </c>
      <c r="N208" s="321">
        <v>0</v>
      </c>
      <c r="O208" s="321">
        <f t="shared" si="76"/>
        <v>90</v>
      </c>
      <c r="R208" s="321">
        <f t="shared" si="61"/>
        <v>90</v>
      </c>
      <c r="T208" s="321"/>
      <c r="U208" s="321">
        <f t="shared" si="75"/>
        <v>90</v>
      </c>
      <c r="X208" s="321">
        <f t="shared" si="62"/>
        <v>90</v>
      </c>
      <c r="Z208" s="321"/>
      <c r="AA208" s="321">
        <f t="shared" si="74"/>
        <v>0</v>
      </c>
      <c r="AD208" s="321">
        <f t="shared" si="63"/>
        <v>0</v>
      </c>
      <c r="AF208" s="321"/>
    </row>
    <row r="209" spans="1:32">
      <c r="B209" t="s">
        <v>766</v>
      </c>
      <c r="C209" s="321">
        <v>0</v>
      </c>
      <c r="D209" s="321">
        <v>0</v>
      </c>
      <c r="E209" s="321">
        <v>0</v>
      </c>
      <c r="F209" s="321">
        <v>0</v>
      </c>
      <c r="G209" s="321">
        <v>0</v>
      </c>
      <c r="H209" s="321">
        <v>0</v>
      </c>
      <c r="I209" s="321">
        <v>0</v>
      </c>
      <c r="J209" s="321">
        <v>0</v>
      </c>
      <c r="K209" s="321">
        <v>0</v>
      </c>
      <c r="L209" s="321">
        <v>0</v>
      </c>
      <c r="M209" s="321">
        <v>0</v>
      </c>
      <c r="N209" s="321">
        <v>0</v>
      </c>
      <c r="O209" s="321">
        <f t="shared" si="76"/>
        <v>0</v>
      </c>
      <c r="R209" s="321">
        <f t="shared" si="61"/>
        <v>0</v>
      </c>
      <c r="T209" s="321"/>
      <c r="U209" s="321">
        <f t="shared" si="75"/>
        <v>0</v>
      </c>
      <c r="X209" s="321">
        <f t="shared" si="62"/>
        <v>0</v>
      </c>
      <c r="Z209" s="321"/>
      <c r="AA209" s="321">
        <f t="shared" si="74"/>
        <v>0</v>
      </c>
      <c r="AD209" s="321">
        <f t="shared" si="63"/>
        <v>0</v>
      </c>
      <c r="AF209" s="321"/>
    </row>
    <row r="210" spans="1:32">
      <c r="B210" t="s">
        <v>765</v>
      </c>
      <c r="C210" s="321">
        <v>0</v>
      </c>
      <c r="D210" s="321">
        <v>0</v>
      </c>
      <c r="E210" s="321">
        <v>0</v>
      </c>
      <c r="F210" s="321">
        <v>0</v>
      </c>
      <c r="G210" s="321">
        <v>0</v>
      </c>
      <c r="H210" s="321">
        <v>0</v>
      </c>
      <c r="I210" s="321">
        <v>0</v>
      </c>
      <c r="J210" s="321">
        <v>0</v>
      </c>
      <c r="K210" s="321">
        <v>0</v>
      </c>
      <c r="L210" s="321">
        <v>0</v>
      </c>
      <c r="M210" s="321">
        <v>0</v>
      </c>
      <c r="N210" s="321">
        <v>0</v>
      </c>
      <c r="O210" s="321">
        <f t="shared" si="76"/>
        <v>0</v>
      </c>
      <c r="R210" s="321">
        <f t="shared" si="61"/>
        <v>0</v>
      </c>
      <c r="T210" s="321"/>
      <c r="U210" s="321">
        <f t="shared" si="75"/>
        <v>0</v>
      </c>
      <c r="X210" s="321">
        <f t="shared" si="62"/>
        <v>0</v>
      </c>
      <c r="Z210" s="321"/>
      <c r="AA210" s="321">
        <f t="shared" si="74"/>
        <v>0</v>
      </c>
      <c r="AD210" s="321">
        <f t="shared" si="63"/>
        <v>0</v>
      </c>
      <c r="AF210" s="321"/>
    </row>
    <row r="211" spans="1:32">
      <c r="A211" t="s">
        <v>780</v>
      </c>
      <c r="B211" t="s">
        <v>767</v>
      </c>
      <c r="C211" s="321">
        <v>0</v>
      </c>
      <c r="D211" s="321">
        <v>0</v>
      </c>
      <c r="E211" s="321">
        <v>0</v>
      </c>
      <c r="F211" s="321">
        <v>0</v>
      </c>
      <c r="G211" s="321">
        <v>0</v>
      </c>
      <c r="H211" s="321">
        <v>0</v>
      </c>
      <c r="I211" s="321">
        <v>0</v>
      </c>
      <c r="J211" s="321">
        <v>0</v>
      </c>
      <c r="K211" s="321">
        <v>27</v>
      </c>
      <c r="L211" s="321">
        <v>0</v>
      </c>
      <c r="M211" s="321">
        <v>0</v>
      </c>
      <c r="N211" s="321">
        <v>0</v>
      </c>
      <c r="O211" s="321">
        <f t="shared" si="76"/>
        <v>27</v>
      </c>
      <c r="R211" s="321">
        <f t="shared" si="61"/>
        <v>27</v>
      </c>
      <c r="T211" s="321"/>
      <c r="U211" s="321">
        <f t="shared" si="75"/>
        <v>27</v>
      </c>
      <c r="X211" s="321">
        <f t="shared" si="62"/>
        <v>27</v>
      </c>
      <c r="Z211" s="321"/>
      <c r="AA211" s="321">
        <f t="shared" si="74"/>
        <v>0</v>
      </c>
      <c r="AD211" s="321">
        <f t="shared" si="63"/>
        <v>0</v>
      </c>
      <c r="AF211" s="321"/>
    </row>
    <row r="212" spans="1:32">
      <c r="B212" t="s">
        <v>766</v>
      </c>
      <c r="C212" s="321">
        <v>0</v>
      </c>
      <c r="D212" s="321">
        <v>0</v>
      </c>
      <c r="E212" s="321">
        <v>0</v>
      </c>
      <c r="F212" s="321">
        <v>0</v>
      </c>
      <c r="G212" s="321">
        <v>0</v>
      </c>
      <c r="H212" s="321">
        <v>0</v>
      </c>
      <c r="I212" s="321">
        <v>0</v>
      </c>
      <c r="J212" s="321">
        <v>0</v>
      </c>
      <c r="K212" s="321">
        <v>0</v>
      </c>
      <c r="L212" s="321">
        <v>0</v>
      </c>
      <c r="M212" s="321">
        <v>0</v>
      </c>
      <c r="N212" s="321">
        <v>0</v>
      </c>
      <c r="O212" s="321">
        <f t="shared" si="76"/>
        <v>0</v>
      </c>
      <c r="R212" s="321">
        <f t="shared" si="61"/>
        <v>0</v>
      </c>
      <c r="T212" s="321"/>
      <c r="U212" s="321">
        <f t="shared" si="75"/>
        <v>0</v>
      </c>
      <c r="X212" s="321">
        <f t="shared" si="62"/>
        <v>0</v>
      </c>
      <c r="Z212" s="321"/>
      <c r="AA212" s="321">
        <f t="shared" si="74"/>
        <v>0</v>
      </c>
      <c r="AD212" s="321">
        <f t="shared" si="63"/>
        <v>0</v>
      </c>
      <c r="AF212" s="321"/>
    </row>
    <row r="213" spans="1:32">
      <c r="B213" t="s">
        <v>765</v>
      </c>
      <c r="C213" s="321">
        <v>0</v>
      </c>
      <c r="D213" s="321">
        <v>0</v>
      </c>
      <c r="E213" s="321">
        <v>0</v>
      </c>
      <c r="F213" s="321">
        <v>0</v>
      </c>
      <c r="G213" s="321">
        <v>0</v>
      </c>
      <c r="H213" s="321">
        <v>0</v>
      </c>
      <c r="I213" s="321">
        <v>0</v>
      </c>
      <c r="J213" s="321">
        <v>0</v>
      </c>
      <c r="K213" s="321">
        <v>0</v>
      </c>
      <c r="L213" s="321">
        <v>0</v>
      </c>
      <c r="M213" s="321">
        <v>0</v>
      </c>
      <c r="N213" s="321">
        <v>0</v>
      </c>
      <c r="O213" s="321">
        <f t="shared" si="76"/>
        <v>0</v>
      </c>
      <c r="R213" s="321">
        <f t="shared" si="61"/>
        <v>0</v>
      </c>
      <c r="T213" s="321"/>
      <c r="U213" s="321">
        <f t="shared" si="75"/>
        <v>0</v>
      </c>
      <c r="X213" s="321">
        <f t="shared" si="62"/>
        <v>0</v>
      </c>
      <c r="Z213" s="321"/>
      <c r="AA213" s="321">
        <f t="shared" si="74"/>
        <v>0</v>
      </c>
      <c r="AD213" s="321">
        <f t="shared" si="63"/>
        <v>0</v>
      </c>
      <c r="AF213" s="321"/>
    </row>
    <row r="214" spans="1:32">
      <c r="A214" t="s">
        <v>760</v>
      </c>
      <c r="B214" t="s">
        <v>767</v>
      </c>
      <c r="C214" s="321">
        <v>0</v>
      </c>
      <c r="D214" s="321">
        <v>0</v>
      </c>
      <c r="E214" s="321">
        <v>0</v>
      </c>
      <c r="F214" s="321">
        <v>0</v>
      </c>
      <c r="G214" s="321">
        <v>0</v>
      </c>
      <c r="H214" s="321">
        <v>0</v>
      </c>
      <c r="I214" s="321">
        <v>0</v>
      </c>
      <c r="J214" s="321">
        <v>0</v>
      </c>
      <c r="K214" s="321">
        <v>58</v>
      </c>
      <c r="L214" s="321">
        <v>0</v>
      </c>
      <c r="M214" s="321">
        <v>0</v>
      </c>
      <c r="N214" s="321">
        <v>0</v>
      </c>
      <c r="O214" s="321">
        <f t="shared" si="76"/>
        <v>58</v>
      </c>
      <c r="R214" s="321">
        <f t="shared" si="61"/>
        <v>58</v>
      </c>
      <c r="T214" s="321"/>
      <c r="U214" s="321">
        <f t="shared" si="75"/>
        <v>58</v>
      </c>
      <c r="X214" s="321">
        <f t="shared" si="62"/>
        <v>58</v>
      </c>
      <c r="Z214" s="321"/>
      <c r="AA214" s="321">
        <f t="shared" si="74"/>
        <v>0</v>
      </c>
      <c r="AD214" s="321">
        <f t="shared" si="63"/>
        <v>0</v>
      </c>
      <c r="AF214" s="321"/>
    </row>
    <row r="215" spans="1:32">
      <c r="B215" t="s">
        <v>766</v>
      </c>
      <c r="C215" s="321">
        <v>0</v>
      </c>
      <c r="D215" s="321">
        <v>0</v>
      </c>
      <c r="E215" s="321">
        <v>0</v>
      </c>
      <c r="F215" s="321">
        <v>0</v>
      </c>
      <c r="G215" s="321">
        <v>0</v>
      </c>
      <c r="H215" s="321">
        <v>0</v>
      </c>
      <c r="I215" s="321">
        <v>0</v>
      </c>
      <c r="J215" s="321">
        <v>0</v>
      </c>
      <c r="K215" s="321">
        <v>0</v>
      </c>
      <c r="L215" s="321">
        <v>0</v>
      </c>
      <c r="M215" s="321">
        <v>0</v>
      </c>
      <c r="N215" s="321">
        <v>0</v>
      </c>
      <c r="O215" s="321">
        <f t="shared" si="76"/>
        <v>0</v>
      </c>
      <c r="R215" s="321">
        <f t="shared" si="61"/>
        <v>0</v>
      </c>
      <c r="T215" s="321"/>
      <c r="U215" s="321">
        <f t="shared" si="75"/>
        <v>0</v>
      </c>
      <c r="X215" s="321">
        <f t="shared" si="62"/>
        <v>0</v>
      </c>
      <c r="Z215" s="321"/>
      <c r="AA215" s="321">
        <f t="shared" si="74"/>
        <v>0</v>
      </c>
      <c r="AD215" s="321">
        <f t="shared" si="63"/>
        <v>0</v>
      </c>
      <c r="AF215" s="321"/>
    </row>
    <row r="216" spans="1:32">
      <c r="B216" t="s">
        <v>765</v>
      </c>
      <c r="C216" s="321">
        <v>0</v>
      </c>
      <c r="D216" s="321">
        <v>0</v>
      </c>
      <c r="E216" s="321">
        <v>0</v>
      </c>
      <c r="F216" s="321">
        <v>0</v>
      </c>
      <c r="G216" s="321">
        <v>0</v>
      </c>
      <c r="H216" s="321">
        <v>0</v>
      </c>
      <c r="I216" s="321">
        <v>0</v>
      </c>
      <c r="J216" s="321">
        <v>0</v>
      </c>
      <c r="K216" s="321">
        <v>0</v>
      </c>
      <c r="L216" s="321">
        <v>0</v>
      </c>
      <c r="M216" s="321">
        <v>0</v>
      </c>
      <c r="N216" s="321">
        <v>0</v>
      </c>
      <c r="O216" s="321">
        <f t="shared" si="76"/>
        <v>0</v>
      </c>
      <c r="R216" s="321">
        <f t="shared" si="61"/>
        <v>0</v>
      </c>
      <c r="T216" s="321"/>
      <c r="U216" s="321">
        <f t="shared" si="75"/>
        <v>0</v>
      </c>
      <c r="X216" s="321">
        <f t="shared" si="62"/>
        <v>0</v>
      </c>
      <c r="Z216" s="321"/>
      <c r="AA216" s="321">
        <f t="shared" si="74"/>
        <v>0</v>
      </c>
      <c r="AD216" s="321">
        <f t="shared" si="63"/>
        <v>0</v>
      </c>
      <c r="AF216" s="321"/>
    </row>
    <row r="217" spans="1:32">
      <c r="A217" t="s">
        <v>779</v>
      </c>
      <c r="B217" t="s">
        <v>767</v>
      </c>
      <c r="C217" s="321">
        <v>0</v>
      </c>
      <c r="D217" s="321">
        <v>0</v>
      </c>
      <c r="E217" s="321">
        <v>0</v>
      </c>
      <c r="F217" s="321">
        <v>0</v>
      </c>
      <c r="G217" s="321">
        <v>0</v>
      </c>
      <c r="H217" s="321">
        <v>0</v>
      </c>
      <c r="I217" s="321">
        <v>0</v>
      </c>
      <c r="J217" s="321">
        <v>0</v>
      </c>
      <c r="K217" s="321">
        <v>1147</v>
      </c>
      <c r="L217" s="321">
        <v>0</v>
      </c>
      <c r="M217" s="321">
        <v>0</v>
      </c>
      <c r="N217" s="321">
        <v>0</v>
      </c>
      <c r="O217" s="321">
        <f t="shared" si="76"/>
        <v>1147</v>
      </c>
      <c r="R217" s="321">
        <f t="shared" ref="R217:R248" si="77">+O217+Q217</f>
        <v>1147</v>
      </c>
      <c r="T217" s="321"/>
      <c r="U217" s="321">
        <f t="shared" si="75"/>
        <v>1147</v>
      </c>
      <c r="X217" s="321">
        <f t="shared" ref="X217:X248" si="78">+U217+W217</f>
        <v>1147</v>
      </c>
      <c r="Z217" s="321"/>
      <c r="AA217" s="321">
        <f t="shared" si="74"/>
        <v>0</v>
      </c>
      <c r="AD217" s="321">
        <f t="shared" ref="AD217:AD248" si="79">+AA217+AC217</f>
        <v>0</v>
      </c>
      <c r="AF217" s="321"/>
    </row>
    <row r="218" spans="1:32">
      <c r="B218" t="s">
        <v>766</v>
      </c>
      <c r="C218" s="321">
        <v>0</v>
      </c>
      <c r="D218" s="321">
        <v>0</v>
      </c>
      <c r="E218" s="321">
        <v>0</v>
      </c>
      <c r="F218" s="321">
        <v>0</v>
      </c>
      <c r="G218" s="321">
        <v>0</v>
      </c>
      <c r="H218" s="321">
        <v>0</v>
      </c>
      <c r="I218" s="321">
        <v>0</v>
      </c>
      <c r="J218" s="321">
        <v>0</v>
      </c>
      <c r="K218" s="321">
        <v>0</v>
      </c>
      <c r="L218" s="321">
        <v>0</v>
      </c>
      <c r="M218" s="321">
        <v>0</v>
      </c>
      <c r="N218" s="321">
        <v>0</v>
      </c>
      <c r="O218" s="321">
        <f t="shared" si="76"/>
        <v>0</v>
      </c>
      <c r="R218" s="321">
        <f t="shared" si="77"/>
        <v>0</v>
      </c>
      <c r="T218" s="321"/>
      <c r="U218" s="321">
        <f t="shared" si="75"/>
        <v>0</v>
      </c>
      <c r="X218" s="321">
        <f t="shared" si="78"/>
        <v>0</v>
      </c>
      <c r="Z218" s="321"/>
      <c r="AA218" s="321">
        <f t="shared" si="74"/>
        <v>0</v>
      </c>
      <c r="AD218" s="321">
        <f t="shared" si="79"/>
        <v>0</v>
      </c>
      <c r="AF218" s="321"/>
    </row>
    <row r="219" spans="1:32">
      <c r="B219" t="s">
        <v>765</v>
      </c>
      <c r="C219" s="321">
        <v>0</v>
      </c>
      <c r="D219" s="321">
        <v>0</v>
      </c>
      <c r="E219" s="321">
        <v>0</v>
      </c>
      <c r="F219" s="321">
        <v>0</v>
      </c>
      <c r="G219" s="321">
        <v>0</v>
      </c>
      <c r="H219" s="321">
        <v>0</v>
      </c>
      <c r="I219" s="321">
        <v>0</v>
      </c>
      <c r="J219" s="321">
        <v>0</v>
      </c>
      <c r="K219" s="321">
        <v>0</v>
      </c>
      <c r="L219" s="321">
        <v>0</v>
      </c>
      <c r="M219" s="321">
        <v>0</v>
      </c>
      <c r="N219" s="321">
        <v>0</v>
      </c>
      <c r="O219" s="321">
        <f t="shared" si="76"/>
        <v>0</v>
      </c>
      <c r="R219" s="321">
        <f t="shared" si="77"/>
        <v>0</v>
      </c>
      <c r="T219" s="321"/>
      <c r="U219" s="321">
        <f t="shared" si="75"/>
        <v>0</v>
      </c>
      <c r="X219" s="321">
        <f t="shared" si="78"/>
        <v>0</v>
      </c>
      <c r="Z219" s="321"/>
      <c r="AA219" s="321">
        <f t="shared" si="74"/>
        <v>0</v>
      </c>
      <c r="AD219" s="321">
        <f t="shared" si="79"/>
        <v>0</v>
      </c>
      <c r="AF219" s="321"/>
    </row>
    <row r="220" spans="1:32">
      <c r="A220" t="s">
        <v>759</v>
      </c>
      <c r="B220" t="s">
        <v>767</v>
      </c>
      <c r="C220" s="321">
        <v>0</v>
      </c>
      <c r="D220" s="321">
        <v>0</v>
      </c>
      <c r="E220" s="321">
        <v>0</v>
      </c>
      <c r="F220" s="321">
        <v>0</v>
      </c>
      <c r="G220" s="321">
        <v>0</v>
      </c>
      <c r="H220" s="321">
        <v>0</v>
      </c>
      <c r="I220" s="321">
        <v>0</v>
      </c>
      <c r="J220" s="321">
        <v>0</v>
      </c>
      <c r="K220" s="321">
        <v>75</v>
      </c>
      <c r="L220" s="321">
        <v>0</v>
      </c>
      <c r="M220" s="321">
        <v>0</v>
      </c>
      <c r="N220" s="321">
        <v>0</v>
      </c>
      <c r="O220" s="321">
        <f t="shared" si="76"/>
        <v>75</v>
      </c>
      <c r="R220" s="321">
        <f t="shared" si="77"/>
        <v>75</v>
      </c>
      <c r="T220" s="321"/>
      <c r="U220" s="321">
        <f t="shared" si="75"/>
        <v>75</v>
      </c>
      <c r="X220" s="321">
        <f t="shared" si="78"/>
        <v>75</v>
      </c>
      <c r="Z220" s="321"/>
      <c r="AA220" s="321">
        <f t="shared" si="74"/>
        <v>0</v>
      </c>
      <c r="AD220" s="321">
        <f t="shared" si="79"/>
        <v>0</v>
      </c>
      <c r="AF220" s="321"/>
    </row>
    <row r="221" spans="1:32">
      <c r="B221" t="s">
        <v>766</v>
      </c>
      <c r="C221" s="321">
        <v>0</v>
      </c>
      <c r="D221" s="321">
        <v>0</v>
      </c>
      <c r="E221" s="321">
        <v>0</v>
      </c>
      <c r="F221" s="321">
        <v>0</v>
      </c>
      <c r="G221" s="321">
        <v>0</v>
      </c>
      <c r="H221" s="321">
        <v>0</v>
      </c>
      <c r="I221" s="321">
        <v>0</v>
      </c>
      <c r="J221" s="321">
        <v>0</v>
      </c>
      <c r="K221" s="321">
        <v>8</v>
      </c>
      <c r="L221" s="321">
        <v>0</v>
      </c>
      <c r="M221" s="321">
        <v>0</v>
      </c>
      <c r="N221" s="321">
        <v>0</v>
      </c>
      <c r="O221" s="321">
        <f t="shared" si="76"/>
        <v>8</v>
      </c>
      <c r="R221" s="321">
        <f t="shared" si="77"/>
        <v>8</v>
      </c>
      <c r="T221" s="321"/>
      <c r="U221" s="321">
        <f t="shared" si="75"/>
        <v>8</v>
      </c>
      <c r="X221" s="321">
        <f t="shared" si="78"/>
        <v>8</v>
      </c>
      <c r="Z221" s="321"/>
      <c r="AA221" s="321">
        <f t="shared" si="74"/>
        <v>0</v>
      </c>
      <c r="AD221" s="321">
        <f t="shared" si="79"/>
        <v>0</v>
      </c>
      <c r="AF221" s="321"/>
    </row>
    <row r="222" spans="1:32">
      <c r="B222" t="s">
        <v>765</v>
      </c>
      <c r="C222" s="321">
        <v>0</v>
      </c>
      <c r="D222" s="321">
        <v>0</v>
      </c>
      <c r="E222" s="321">
        <v>0</v>
      </c>
      <c r="F222" s="321">
        <v>0</v>
      </c>
      <c r="G222" s="321">
        <v>0</v>
      </c>
      <c r="H222" s="321">
        <v>0</v>
      </c>
      <c r="I222" s="321">
        <v>0</v>
      </c>
      <c r="J222" s="321">
        <v>0</v>
      </c>
      <c r="K222" s="321">
        <v>36</v>
      </c>
      <c r="L222" s="321">
        <v>0</v>
      </c>
      <c r="M222" s="321">
        <v>0</v>
      </c>
      <c r="N222" s="321">
        <v>0</v>
      </c>
      <c r="O222" s="321">
        <f t="shared" si="76"/>
        <v>36</v>
      </c>
      <c r="R222" s="321">
        <f t="shared" si="77"/>
        <v>36</v>
      </c>
      <c r="T222" s="321"/>
      <c r="U222" s="321">
        <f t="shared" si="75"/>
        <v>36</v>
      </c>
      <c r="X222" s="321">
        <f t="shared" si="78"/>
        <v>36</v>
      </c>
      <c r="Z222" s="321"/>
      <c r="AA222" s="321">
        <f t="shared" si="74"/>
        <v>0</v>
      </c>
      <c r="AD222" s="321">
        <f t="shared" si="79"/>
        <v>0</v>
      </c>
      <c r="AF222" s="321"/>
    </row>
    <row r="223" spans="1:32">
      <c r="A223" t="s">
        <v>778</v>
      </c>
      <c r="B223" t="s">
        <v>767</v>
      </c>
      <c r="C223" s="321">
        <v>0</v>
      </c>
      <c r="D223" s="321">
        <v>0</v>
      </c>
      <c r="E223" s="321">
        <v>0</v>
      </c>
      <c r="F223" s="321">
        <v>0</v>
      </c>
      <c r="G223" s="321">
        <v>0</v>
      </c>
      <c r="H223" s="321">
        <v>0</v>
      </c>
      <c r="I223" s="321">
        <v>0</v>
      </c>
      <c r="J223" s="321">
        <v>0</v>
      </c>
      <c r="K223" s="321">
        <v>2753</v>
      </c>
      <c r="L223" s="321">
        <v>0</v>
      </c>
      <c r="M223" s="321">
        <v>0</v>
      </c>
      <c r="N223" s="321">
        <v>0</v>
      </c>
      <c r="O223" s="321">
        <f t="shared" si="76"/>
        <v>2753</v>
      </c>
      <c r="R223" s="321">
        <f t="shared" si="77"/>
        <v>2753</v>
      </c>
      <c r="T223" s="321"/>
      <c r="U223" s="321">
        <f t="shared" si="75"/>
        <v>2753</v>
      </c>
      <c r="X223" s="321">
        <f t="shared" si="78"/>
        <v>2753</v>
      </c>
      <c r="Z223" s="321"/>
      <c r="AA223" s="321">
        <f t="shared" si="74"/>
        <v>0</v>
      </c>
      <c r="AD223" s="321">
        <f t="shared" si="79"/>
        <v>0</v>
      </c>
      <c r="AF223" s="321"/>
    </row>
    <row r="224" spans="1:32">
      <c r="B224" t="s">
        <v>766</v>
      </c>
      <c r="C224" s="321">
        <v>0</v>
      </c>
      <c r="D224" s="321">
        <v>0</v>
      </c>
      <c r="E224" s="321">
        <v>0</v>
      </c>
      <c r="F224" s="321">
        <v>0</v>
      </c>
      <c r="G224" s="321">
        <v>0</v>
      </c>
      <c r="H224" s="321">
        <v>0</v>
      </c>
      <c r="I224" s="321">
        <v>0</v>
      </c>
      <c r="J224" s="321">
        <v>0</v>
      </c>
      <c r="K224" s="321">
        <v>486</v>
      </c>
      <c r="L224" s="321">
        <v>0</v>
      </c>
      <c r="M224" s="321">
        <v>0</v>
      </c>
      <c r="N224" s="321">
        <v>0</v>
      </c>
      <c r="O224" s="321">
        <f t="shared" si="76"/>
        <v>486</v>
      </c>
      <c r="R224" s="321">
        <f t="shared" si="77"/>
        <v>486</v>
      </c>
      <c r="T224" s="321"/>
      <c r="U224" s="321">
        <f t="shared" si="75"/>
        <v>486</v>
      </c>
      <c r="X224" s="321">
        <f t="shared" si="78"/>
        <v>486</v>
      </c>
      <c r="Z224" s="321"/>
      <c r="AA224" s="321">
        <f t="shared" si="74"/>
        <v>0</v>
      </c>
      <c r="AD224" s="321">
        <f t="shared" si="79"/>
        <v>0</v>
      </c>
      <c r="AF224" s="321"/>
    </row>
    <row r="225" spans="1:32">
      <c r="B225" t="s">
        <v>765</v>
      </c>
      <c r="C225" s="321">
        <v>0</v>
      </c>
      <c r="D225" s="321">
        <v>0</v>
      </c>
      <c r="E225" s="321">
        <v>0</v>
      </c>
      <c r="F225" s="321">
        <v>0</v>
      </c>
      <c r="G225" s="321">
        <v>0</v>
      </c>
      <c r="H225" s="321">
        <v>0</v>
      </c>
      <c r="I225" s="321">
        <v>0</v>
      </c>
      <c r="J225" s="321">
        <v>0</v>
      </c>
      <c r="K225" s="321">
        <v>1165</v>
      </c>
      <c r="L225" s="321">
        <v>0</v>
      </c>
      <c r="M225" s="321">
        <v>0</v>
      </c>
      <c r="N225" s="321">
        <v>0</v>
      </c>
      <c r="O225" s="321">
        <f t="shared" si="76"/>
        <v>1165</v>
      </c>
      <c r="R225" s="321">
        <f t="shared" si="77"/>
        <v>1165</v>
      </c>
      <c r="T225" s="321"/>
      <c r="U225" s="321">
        <f t="shared" si="75"/>
        <v>1165</v>
      </c>
      <c r="X225" s="321">
        <f t="shared" si="78"/>
        <v>1165</v>
      </c>
      <c r="Z225" s="321"/>
      <c r="AA225" s="321">
        <f t="shared" si="74"/>
        <v>0</v>
      </c>
      <c r="AD225" s="321">
        <f t="shared" si="79"/>
        <v>0</v>
      </c>
      <c r="AF225" s="321"/>
    </row>
    <row r="226" spans="1:32">
      <c r="A226" t="s">
        <v>758</v>
      </c>
      <c r="B226" t="s">
        <v>767</v>
      </c>
      <c r="C226" s="321">
        <v>0</v>
      </c>
      <c r="D226" s="321">
        <v>0</v>
      </c>
      <c r="E226" s="321">
        <v>0</v>
      </c>
      <c r="F226" s="321">
        <v>0</v>
      </c>
      <c r="G226" s="321">
        <v>0</v>
      </c>
      <c r="H226" s="321">
        <v>0</v>
      </c>
      <c r="I226" s="321">
        <v>0</v>
      </c>
      <c r="J226" s="321">
        <v>0</v>
      </c>
      <c r="K226" s="321">
        <v>208</v>
      </c>
      <c r="L226" s="321">
        <v>0</v>
      </c>
      <c r="M226" s="321">
        <v>0</v>
      </c>
      <c r="N226" s="321">
        <v>0</v>
      </c>
      <c r="O226" s="321">
        <f t="shared" si="76"/>
        <v>208</v>
      </c>
      <c r="R226" s="321">
        <f t="shared" si="77"/>
        <v>208</v>
      </c>
      <c r="T226" s="321"/>
      <c r="U226" s="321">
        <f t="shared" si="75"/>
        <v>208</v>
      </c>
      <c r="X226" s="321">
        <f t="shared" si="78"/>
        <v>208</v>
      </c>
      <c r="Z226" s="321"/>
      <c r="AA226" s="321">
        <f t="shared" si="74"/>
        <v>0</v>
      </c>
      <c r="AD226" s="321">
        <f t="shared" si="79"/>
        <v>0</v>
      </c>
      <c r="AF226" s="321"/>
    </row>
    <row r="227" spans="1:32">
      <c r="B227" t="s">
        <v>766</v>
      </c>
      <c r="C227" s="321">
        <v>0</v>
      </c>
      <c r="D227" s="321">
        <v>0</v>
      </c>
      <c r="E227" s="321">
        <v>0</v>
      </c>
      <c r="F227" s="321">
        <v>0</v>
      </c>
      <c r="G227" s="321">
        <v>0</v>
      </c>
      <c r="H227" s="321">
        <v>0</v>
      </c>
      <c r="I227" s="321">
        <v>0</v>
      </c>
      <c r="J227" s="321">
        <v>0</v>
      </c>
      <c r="K227" s="321">
        <v>93</v>
      </c>
      <c r="L227" s="321">
        <v>0</v>
      </c>
      <c r="M227" s="321">
        <v>0</v>
      </c>
      <c r="N227" s="321">
        <v>0</v>
      </c>
      <c r="O227" s="321">
        <f t="shared" si="76"/>
        <v>93</v>
      </c>
      <c r="R227" s="321">
        <f t="shared" si="77"/>
        <v>93</v>
      </c>
      <c r="T227" s="321"/>
      <c r="U227" s="321">
        <f t="shared" si="75"/>
        <v>93</v>
      </c>
      <c r="X227" s="321">
        <f t="shared" si="78"/>
        <v>93</v>
      </c>
      <c r="Z227" s="321"/>
      <c r="AA227" s="321">
        <f t="shared" si="74"/>
        <v>0</v>
      </c>
      <c r="AD227" s="321">
        <f t="shared" si="79"/>
        <v>0</v>
      </c>
      <c r="AF227" s="321"/>
    </row>
    <row r="228" spans="1:32">
      <c r="B228" t="s">
        <v>765</v>
      </c>
      <c r="C228" s="321">
        <v>0</v>
      </c>
      <c r="D228" s="321">
        <v>0</v>
      </c>
      <c r="E228" s="321">
        <v>0</v>
      </c>
      <c r="F228" s="321">
        <v>0</v>
      </c>
      <c r="G228" s="321">
        <v>0</v>
      </c>
      <c r="H228" s="321">
        <v>0</v>
      </c>
      <c r="I228" s="321">
        <v>0</v>
      </c>
      <c r="J228" s="321">
        <v>0</v>
      </c>
      <c r="K228" s="321">
        <v>512</v>
      </c>
      <c r="L228" s="321">
        <v>0</v>
      </c>
      <c r="M228" s="321">
        <v>0</v>
      </c>
      <c r="N228" s="321">
        <v>0</v>
      </c>
      <c r="O228" s="321">
        <f t="shared" si="76"/>
        <v>512</v>
      </c>
      <c r="R228" s="321">
        <f t="shared" si="77"/>
        <v>512</v>
      </c>
      <c r="T228" s="321"/>
      <c r="U228" s="321">
        <f t="shared" si="75"/>
        <v>512</v>
      </c>
      <c r="X228" s="321">
        <f t="shared" si="78"/>
        <v>512</v>
      </c>
      <c r="Z228" s="321"/>
      <c r="AA228" s="321">
        <f t="shared" si="74"/>
        <v>0</v>
      </c>
      <c r="AD228" s="321">
        <f t="shared" si="79"/>
        <v>0</v>
      </c>
      <c r="AF228" s="321"/>
    </row>
    <row r="229" spans="1:32">
      <c r="A229" t="s">
        <v>777</v>
      </c>
      <c r="B229" t="s">
        <v>767</v>
      </c>
      <c r="C229" s="321">
        <v>0</v>
      </c>
      <c r="D229" s="321">
        <v>0</v>
      </c>
      <c r="E229" s="321">
        <v>0</v>
      </c>
      <c r="F229" s="321">
        <v>0</v>
      </c>
      <c r="G229" s="321">
        <v>0</v>
      </c>
      <c r="H229" s="321">
        <v>0</v>
      </c>
      <c r="I229" s="321">
        <v>0</v>
      </c>
      <c r="J229" s="321">
        <v>0</v>
      </c>
      <c r="K229" s="321">
        <v>3569</v>
      </c>
      <c r="L229" s="321">
        <v>0</v>
      </c>
      <c r="M229" s="321">
        <v>0</v>
      </c>
      <c r="N229" s="321">
        <v>0</v>
      </c>
      <c r="O229" s="321">
        <f t="shared" si="76"/>
        <v>3569</v>
      </c>
      <c r="R229" s="321">
        <f t="shared" si="77"/>
        <v>3569</v>
      </c>
      <c r="T229" s="321"/>
      <c r="U229" s="321">
        <f t="shared" si="75"/>
        <v>3569</v>
      </c>
      <c r="X229" s="321">
        <f t="shared" si="78"/>
        <v>3569</v>
      </c>
      <c r="Z229" s="321"/>
      <c r="AA229" s="321">
        <f t="shared" si="74"/>
        <v>0</v>
      </c>
      <c r="AD229" s="321">
        <f t="shared" si="79"/>
        <v>0</v>
      </c>
      <c r="AF229" s="321"/>
    </row>
    <row r="230" spans="1:32">
      <c r="B230" t="s">
        <v>766</v>
      </c>
      <c r="C230" s="321">
        <v>0</v>
      </c>
      <c r="D230" s="321">
        <v>0</v>
      </c>
      <c r="E230" s="321">
        <v>0</v>
      </c>
      <c r="F230" s="321">
        <v>0</v>
      </c>
      <c r="G230" s="321">
        <v>0</v>
      </c>
      <c r="H230" s="321">
        <v>0</v>
      </c>
      <c r="I230" s="321">
        <v>0</v>
      </c>
      <c r="J230" s="321">
        <v>0</v>
      </c>
      <c r="K230" s="321">
        <v>827</v>
      </c>
      <c r="L230" s="321">
        <v>0</v>
      </c>
      <c r="M230" s="321">
        <v>0</v>
      </c>
      <c r="N230" s="321">
        <v>0</v>
      </c>
      <c r="O230" s="321">
        <f t="shared" si="76"/>
        <v>827</v>
      </c>
      <c r="R230" s="321">
        <f t="shared" si="77"/>
        <v>827</v>
      </c>
      <c r="T230" s="321"/>
      <c r="U230" s="321">
        <f t="shared" si="75"/>
        <v>827</v>
      </c>
      <c r="X230" s="321">
        <f t="shared" si="78"/>
        <v>827</v>
      </c>
      <c r="Z230" s="321"/>
      <c r="AA230" s="321">
        <f t="shared" si="74"/>
        <v>0</v>
      </c>
      <c r="AD230" s="321">
        <f t="shared" si="79"/>
        <v>0</v>
      </c>
      <c r="AF230" s="321"/>
    </row>
    <row r="231" spans="1:32">
      <c r="B231" t="s">
        <v>765</v>
      </c>
      <c r="C231" s="321">
        <v>0</v>
      </c>
      <c r="D231" s="321">
        <v>0</v>
      </c>
      <c r="E231" s="321">
        <v>0</v>
      </c>
      <c r="F231" s="321">
        <v>0</v>
      </c>
      <c r="G231" s="321">
        <v>0</v>
      </c>
      <c r="H231" s="321">
        <v>0</v>
      </c>
      <c r="I231" s="321">
        <v>0</v>
      </c>
      <c r="J231" s="321">
        <v>0</v>
      </c>
      <c r="K231" s="321">
        <v>3021</v>
      </c>
      <c r="L231" s="321">
        <v>0</v>
      </c>
      <c r="M231" s="321">
        <v>0</v>
      </c>
      <c r="N231" s="321">
        <v>0</v>
      </c>
      <c r="O231" s="321">
        <f t="shared" si="76"/>
        <v>3021</v>
      </c>
      <c r="R231" s="321">
        <f t="shared" si="77"/>
        <v>3021</v>
      </c>
      <c r="T231" s="321"/>
      <c r="U231" s="321">
        <f t="shared" si="75"/>
        <v>3021</v>
      </c>
      <c r="X231" s="321">
        <f t="shared" si="78"/>
        <v>3021</v>
      </c>
      <c r="Z231" s="321"/>
      <c r="AA231" s="321">
        <f t="shared" si="74"/>
        <v>0</v>
      </c>
      <c r="AD231" s="321">
        <f t="shared" si="79"/>
        <v>0</v>
      </c>
      <c r="AF231" s="321"/>
    </row>
    <row r="232" spans="1:32">
      <c r="A232" t="s">
        <v>776</v>
      </c>
      <c r="B232" t="s">
        <v>767</v>
      </c>
      <c r="C232" s="321">
        <v>0</v>
      </c>
      <c r="D232" s="321">
        <v>0</v>
      </c>
      <c r="E232" s="321">
        <v>0</v>
      </c>
      <c r="F232" s="321">
        <v>0</v>
      </c>
      <c r="G232" s="321">
        <v>0</v>
      </c>
      <c r="H232" s="321">
        <v>0</v>
      </c>
      <c r="I232" s="321">
        <v>0</v>
      </c>
      <c r="J232" s="321">
        <v>0</v>
      </c>
      <c r="K232" s="321">
        <v>0</v>
      </c>
      <c r="L232" s="321">
        <v>0</v>
      </c>
      <c r="M232" s="321">
        <v>0</v>
      </c>
      <c r="N232" s="321">
        <v>0</v>
      </c>
      <c r="O232" s="321">
        <f t="shared" si="76"/>
        <v>0</v>
      </c>
      <c r="R232" s="321">
        <f t="shared" si="77"/>
        <v>0</v>
      </c>
      <c r="T232" s="321"/>
      <c r="U232" s="321">
        <f t="shared" si="75"/>
        <v>0</v>
      </c>
      <c r="X232" s="321">
        <f t="shared" si="78"/>
        <v>0</v>
      </c>
      <c r="Z232" s="321"/>
      <c r="AA232" s="321">
        <f t="shared" si="74"/>
        <v>0</v>
      </c>
      <c r="AD232" s="321">
        <f t="shared" si="79"/>
        <v>0</v>
      </c>
      <c r="AF232" s="321"/>
    </row>
    <row r="233" spans="1:32">
      <c r="B233" t="s">
        <v>766</v>
      </c>
      <c r="C233" s="321">
        <v>0</v>
      </c>
      <c r="D233" s="321">
        <v>0</v>
      </c>
      <c r="E233" s="321">
        <v>0</v>
      </c>
      <c r="F233" s="321">
        <v>0</v>
      </c>
      <c r="G233" s="321">
        <v>0</v>
      </c>
      <c r="H233" s="321">
        <v>0</v>
      </c>
      <c r="I233" s="321">
        <v>0</v>
      </c>
      <c r="J233" s="321">
        <v>0</v>
      </c>
      <c r="K233" s="321">
        <v>0</v>
      </c>
      <c r="L233" s="321">
        <v>0</v>
      </c>
      <c r="M233" s="321">
        <v>0</v>
      </c>
      <c r="N233" s="321">
        <v>0</v>
      </c>
      <c r="O233" s="321">
        <f t="shared" si="76"/>
        <v>0</v>
      </c>
      <c r="R233" s="321">
        <f t="shared" si="77"/>
        <v>0</v>
      </c>
      <c r="T233" s="321"/>
      <c r="U233" s="321">
        <f t="shared" si="75"/>
        <v>0</v>
      </c>
      <c r="X233" s="321">
        <f t="shared" si="78"/>
        <v>0</v>
      </c>
      <c r="Z233" s="321"/>
      <c r="AA233" s="321">
        <f t="shared" si="74"/>
        <v>0</v>
      </c>
      <c r="AD233" s="321">
        <f t="shared" si="79"/>
        <v>0</v>
      </c>
      <c r="AF233" s="321"/>
    </row>
    <row r="234" spans="1:32">
      <c r="B234" t="s">
        <v>765</v>
      </c>
      <c r="C234" s="321">
        <v>0</v>
      </c>
      <c r="D234" s="321">
        <v>0</v>
      </c>
      <c r="E234" s="321">
        <v>0</v>
      </c>
      <c r="F234" s="321">
        <v>0</v>
      </c>
      <c r="G234" s="321">
        <v>0</v>
      </c>
      <c r="H234" s="321">
        <v>0</v>
      </c>
      <c r="I234" s="321">
        <v>0</v>
      </c>
      <c r="J234" s="321">
        <v>0</v>
      </c>
      <c r="K234" s="321">
        <v>0</v>
      </c>
      <c r="L234" s="321">
        <v>0</v>
      </c>
      <c r="M234" s="321">
        <v>0</v>
      </c>
      <c r="N234" s="321">
        <v>0</v>
      </c>
      <c r="O234" s="321">
        <f t="shared" si="76"/>
        <v>0</v>
      </c>
      <c r="R234" s="321">
        <f t="shared" si="77"/>
        <v>0</v>
      </c>
      <c r="T234" s="321"/>
      <c r="U234" s="321">
        <f t="shared" si="75"/>
        <v>0</v>
      </c>
      <c r="X234" s="321">
        <f t="shared" si="78"/>
        <v>0</v>
      </c>
      <c r="Z234" s="321"/>
      <c r="AA234" s="321">
        <f t="shared" si="74"/>
        <v>0</v>
      </c>
      <c r="AD234" s="321">
        <f t="shared" si="79"/>
        <v>0</v>
      </c>
      <c r="AF234" s="321"/>
    </row>
    <row r="235" spans="1:32">
      <c r="A235" t="s">
        <v>775</v>
      </c>
      <c r="B235" t="s">
        <v>767</v>
      </c>
      <c r="C235" s="321">
        <v>0</v>
      </c>
      <c r="D235" s="321">
        <v>0</v>
      </c>
      <c r="E235" s="321">
        <v>0</v>
      </c>
      <c r="F235" s="321">
        <v>0</v>
      </c>
      <c r="G235" s="321">
        <v>0</v>
      </c>
      <c r="H235" s="321">
        <v>0</v>
      </c>
      <c r="I235" s="321">
        <v>0</v>
      </c>
      <c r="J235" s="321">
        <v>0</v>
      </c>
      <c r="K235" s="321">
        <v>0</v>
      </c>
      <c r="L235" s="321">
        <v>0</v>
      </c>
      <c r="M235" s="321">
        <v>0</v>
      </c>
      <c r="N235" s="321">
        <v>0</v>
      </c>
      <c r="O235" s="321">
        <f t="shared" si="76"/>
        <v>0</v>
      </c>
      <c r="R235" s="321">
        <f t="shared" si="77"/>
        <v>0</v>
      </c>
      <c r="T235" s="321"/>
      <c r="U235" s="321">
        <f t="shared" si="75"/>
        <v>0</v>
      </c>
      <c r="X235" s="321">
        <f t="shared" si="78"/>
        <v>0</v>
      </c>
      <c r="Z235" s="321"/>
      <c r="AA235" s="321">
        <f t="shared" si="74"/>
        <v>0</v>
      </c>
      <c r="AD235" s="321">
        <f t="shared" si="79"/>
        <v>0</v>
      </c>
      <c r="AF235" s="321"/>
    </row>
    <row r="236" spans="1:32">
      <c r="B236" t="s">
        <v>766</v>
      </c>
      <c r="C236" s="321">
        <v>0</v>
      </c>
      <c r="D236" s="321">
        <v>0</v>
      </c>
      <c r="E236" s="321">
        <v>0</v>
      </c>
      <c r="F236" s="321">
        <v>0</v>
      </c>
      <c r="G236" s="321">
        <v>0</v>
      </c>
      <c r="H236" s="321">
        <v>0</v>
      </c>
      <c r="I236" s="321">
        <v>0</v>
      </c>
      <c r="J236" s="321">
        <v>0</v>
      </c>
      <c r="K236" s="321">
        <v>0</v>
      </c>
      <c r="L236" s="321">
        <v>0</v>
      </c>
      <c r="M236" s="321">
        <v>0</v>
      </c>
      <c r="N236" s="321">
        <v>0</v>
      </c>
      <c r="O236" s="321">
        <f t="shared" si="76"/>
        <v>0</v>
      </c>
      <c r="R236" s="321">
        <f t="shared" si="77"/>
        <v>0</v>
      </c>
      <c r="T236" s="321"/>
      <c r="U236" s="321">
        <f t="shared" si="75"/>
        <v>0</v>
      </c>
      <c r="X236" s="321">
        <f t="shared" si="78"/>
        <v>0</v>
      </c>
      <c r="Z236" s="321"/>
      <c r="AA236" s="321">
        <f t="shared" si="74"/>
        <v>0</v>
      </c>
      <c r="AD236" s="321">
        <f t="shared" si="79"/>
        <v>0</v>
      </c>
      <c r="AF236" s="321"/>
    </row>
    <row r="237" spans="1:32">
      <c r="B237" t="s">
        <v>765</v>
      </c>
      <c r="C237" s="321">
        <v>0</v>
      </c>
      <c r="D237" s="321">
        <v>0</v>
      </c>
      <c r="E237" s="321">
        <v>0</v>
      </c>
      <c r="F237" s="321">
        <v>0</v>
      </c>
      <c r="G237" s="321">
        <v>0</v>
      </c>
      <c r="H237" s="321">
        <v>0</v>
      </c>
      <c r="I237" s="321">
        <v>0</v>
      </c>
      <c r="J237" s="321">
        <v>0</v>
      </c>
      <c r="K237" s="321">
        <v>0</v>
      </c>
      <c r="L237" s="321">
        <v>0</v>
      </c>
      <c r="M237" s="321">
        <v>0</v>
      </c>
      <c r="N237" s="321">
        <v>0</v>
      </c>
      <c r="O237" s="321">
        <f t="shared" si="76"/>
        <v>0</v>
      </c>
      <c r="R237" s="321">
        <f t="shared" si="77"/>
        <v>0</v>
      </c>
      <c r="T237" s="321"/>
      <c r="U237" s="321">
        <f t="shared" si="75"/>
        <v>0</v>
      </c>
      <c r="X237" s="321">
        <f t="shared" si="78"/>
        <v>0</v>
      </c>
      <c r="Z237" s="321"/>
      <c r="AA237" s="321">
        <f t="shared" si="74"/>
        <v>0</v>
      </c>
      <c r="AD237" s="321">
        <f t="shared" si="79"/>
        <v>0</v>
      </c>
      <c r="AF237" s="321"/>
    </row>
    <row r="238" spans="1:32">
      <c r="A238" t="s">
        <v>774</v>
      </c>
      <c r="B238" t="s">
        <v>767</v>
      </c>
      <c r="C238" s="321">
        <v>0</v>
      </c>
      <c r="D238" s="321">
        <v>0</v>
      </c>
      <c r="E238" s="321">
        <v>0</v>
      </c>
      <c r="F238" s="321">
        <v>0</v>
      </c>
      <c r="G238" s="321">
        <v>0</v>
      </c>
      <c r="H238" s="321">
        <v>0</v>
      </c>
      <c r="I238" s="321">
        <v>0</v>
      </c>
      <c r="J238" s="321">
        <v>0</v>
      </c>
      <c r="K238" s="321">
        <v>2403</v>
      </c>
      <c r="L238" s="321">
        <v>0</v>
      </c>
      <c r="M238" s="321">
        <v>0</v>
      </c>
      <c r="N238" s="321">
        <v>0</v>
      </c>
      <c r="O238" s="321">
        <f t="shared" si="76"/>
        <v>2403</v>
      </c>
      <c r="R238" s="321">
        <f t="shared" si="77"/>
        <v>2403</v>
      </c>
      <c r="T238" s="321"/>
      <c r="U238" s="321">
        <f t="shared" si="75"/>
        <v>2403</v>
      </c>
      <c r="X238" s="321">
        <f t="shared" si="78"/>
        <v>2403</v>
      </c>
      <c r="Z238" s="321"/>
      <c r="AA238" s="321">
        <f t="shared" si="74"/>
        <v>0</v>
      </c>
      <c r="AD238" s="321">
        <f t="shared" si="79"/>
        <v>0</v>
      </c>
      <c r="AF238" s="321"/>
    </row>
    <row r="239" spans="1:32">
      <c r="B239" t="s">
        <v>766</v>
      </c>
      <c r="C239" s="321">
        <v>0</v>
      </c>
      <c r="D239" s="321">
        <v>0</v>
      </c>
      <c r="E239" s="321">
        <v>0</v>
      </c>
      <c r="F239" s="321">
        <v>0</v>
      </c>
      <c r="G239" s="321">
        <v>0</v>
      </c>
      <c r="H239" s="321">
        <v>0</v>
      </c>
      <c r="I239" s="321">
        <v>0</v>
      </c>
      <c r="J239" s="321">
        <v>0</v>
      </c>
      <c r="K239" s="321">
        <v>0</v>
      </c>
      <c r="L239" s="321">
        <v>0</v>
      </c>
      <c r="M239" s="321">
        <v>0</v>
      </c>
      <c r="N239" s="321">
        <v>0</v>
      </c>
      <c r="O239" s="321">
        <f t="shared" si="76"/>
        <v>0</v>
      </c>
      <c r="R239" s="321">
        <f t="shared" si="77"/>
        <v>0</v>
      </c>
      <c r="T239" s="321"/>
      <c r="U239" s="321">
        <f t="shared" si="75"/>
        <v>0</v>
      </c>
      <c r="X239" s="321">
        <f t="shared" si="78"/>
        <v>0</v>
      </c>
      <c r="Z239" s="321"/>
      <c r="AA239" s="321">
        <f t="shared" si="74"/>
        <v>0</v>
      </c>
      <c r="AD239" s="321">
        <f t="shared" si="79"/>
        <v>0</v>
      </c>
      <c r="AF239" s="321"/>
    </row>
    <row r="240" spans="1:32">
      <c r="B240" t="s">
        <v>765</v>
      </c>
      <c r="C240" s="321">
        <v>0</v>
      </c>
      <c r="D240" s="321">
        <v>0</v>
      </c>
      <c r="E240" s="321">
        <v>0</v>
      </c>
      <c r="F240" s="321">
        <v>0</v>
      </c>
      <c r="G240" s="321">
        <v>0</v>
      </c>
      <c r="H240" s="321">
        <v>0</v>
      </c>
      <c r="I240" s="321">
        <v>0</v>
      </c>
      <c r="J240" s="321">
        <v>0</v>
      </c>
      <c r="K240" s="321">
        <v>0</v>
      </c>
      <c r="L240" s="321">
        <v>0</v>
      </c>
      <c r="M240" s="321">
        <v>0</v>
      </c>
      <c r="N240" s="321">
        <v>0</v>
      </c>
      <c r="O240" s="321">
        <f t="shared" si="76"/>
        <v>0</v>
      </c>
      <c r="R240" s="321">
        <f t="shared" si="77"/>
        <v>0</v>
      </c>
      <c r="T240" s="321"/>
      <c r="U240" s="321">
        <f t="shared" si="75"/>
        <v>0</v>
      </c>
      <c r="X240" s="321">
        <f t="shared" si="78"/>
        <v>0</v>
      </c>
      <c r="Z240" s="321"/>
      <c r="AA240" s="321">
        <f t="shared" si="74"/>
        <v>0</v>
      </c>
      <c r="AD240" s="321">
        <f t="shared" si="79"/>
        <v>0</v>
      </c>
      <c r="AF240" s="321"/>
    </row>
    <row r="241" spans="1:32">
      <c r="A241" t="s">
        <v>773</v>
      </c>
      <c r="B241" t="s">
        <v>767</v>
      </c>
      <c r="C241" s="321">
        <v>0</v>
      </c>
      <c r="D241" s="321">
        <v>0</v>
      </c>
      <c r="E241" s="321">
        <v>0</v>
      </c>
      <c r="F241" s="321">
        <v>0</v>
      </c>
      <c r="G241" s="321">
        <v>0</v>
      </c>
      <c r="H241" s="321">
        <v>0</v>
      </c>
      <c r="I241" s="321">
        <v>0</v>
      </c>
      <c r="J241" s="321">
        <v>0</v>
      </c>
      <c r="K241" s="321">
        <v>104</v>
      </c>
      <c r="L241" s="321">
        <v>0</v>
      </c>
      <c r="M241" s="321">
        <v>0</v>
      </c>
      <c r="N241" s="321">
        <v>0</v>
      </c>
      <c r="O241" s="321">
        <f t="shared" si="76"/>
        <v>104</v>
      </c>
      <c r="R241" s="321">
        <f t="shared" si="77"/>
        <v>104</v>
      </c>
      <c r="T241" s="321"/>
      <c r="U241" s="321">
        <f t="shared" si="75"/>
        <v>104</v>
      </c>
      <c r="X241" s="321">
        <f t="shared" si="78"/>
        <v>104</v>
      </c>
      <c r="Z241" s="321"/>
      <c r="AA241" s="321">
        <f t="shared" si="74"/>
        <v>0</v>
      </c>
      <c r="AD241" s="321">
        <f t="shared" si="79"/>
        <v>0</v>
      </c>
      <c r="AF241" s="321"/>
    </row>
    <row r="242" spans="1:32">
      <c r="B242" t="s">
        <v>766</v>
      </c>
      <c r="C242" s="321">
        <v>0</v>
      </c>
      <c r="D242" s="321">
        <v>0</v>
      </c>
      <c r="E242" s="321">
        <v>0</v>
      </c>
      <c r="F242" s="321">
        <v>0</v>
      </c>
      <c r="G242" s="321">
        <v>0</v>
      </c>
      <c r="H242" s="321">
        <v>0</v>
      </c>
      <c r="I242" s="321">
        <v>0</v>
      </c>
      <c r="J242" s="321">
        <v>0</v>
      </c>
      <c r="K242" s="321">
        <v>0</v>
      </c>
      <c r="L242" s="321">
        <v>0</v>
      </c>
      <c r="M242" s="321">
        <v>0</v>
      </c>
      <c r="N242" s="321">
        <v>0</v>
      </c>
      <c r="O242" s="321">
        <f t="shared" si="76"/>
        <v>0</v>
      </c>
      <c r="R242" s="321">
        <f t="shared" si="77"/>
        <v>0</v>
      </c>
      <c r="T242" s="321"/>
      <c r="U242" s="321">
        <f t="shared" si="75"/>
        <v>0</v>
      </c>
      <c r="X242" s="321">
        <f t="shared" si="78"/>
        <v>0</v>
      </c>
      <c r="Z242" s="321"/>
      <c r="AA242" s="321">
        <f t="shared" si="74"/>
        <v>0</v>
      </c>
      <c r="AD242" s="321">
        <f t="shared" si="79"/>
        <v>0</v>
      </c>
      <c r="AF242" s="321"/>
    </row>
    <row r="243" spans="1:32">
      <c r="B243" t="s">
        <v>765</v>
      </c>
      <c r="C243" s="321">
        <v>0</v>
      </c>
      <c r="D243" s="321">
        <v>0</v>
      </c>
      <c r="E243" s="321">
        <v>0</v>
      </c>
      <c r="F243" s="321">
        <v>0</v>
      </c>
      <c r="G243" s="321">
        <v>0</v>
      </c>
      <c r="H243" s="321">
        <v>0</v>
      </c>
      <c r="I243" s="321">
        <v>0</v>
      </c>
      <c r="J243" s="321">
        <v>0</v>
      </c>
      <c r="K243" s="321">
        <v>0</v>
      </c>
      <c r="L243" s="321">
        <v>0</v>
      </c>
      <c r="M243" s="321">
        <v>0</v>
      </c>
      <c r="N243" s="321">
        <v>0</v>
      </c>
      <c r="O243" s="321">
        <f t="shared" si="76"/>
        <v>0</v>
      </c>
      <c r="R243" s="321">
        <f t="shared" si="77"/>
        <v>0</v>
      </c>
      <c r="T243" s="321"/>
      <c r="U243" s="321">
        <f t="shared" si="75"/>
        <v>0</v>
      </c>
      <c r="X243" s="321">
        <f t="shared" si="78"/>
        <v>0</v>
      </c>
      <c r="Z243" s="321"/>
      <c r="AA243" s="321">
        <f t="shared" si="74"/>
        <v>0</v>
      </c>
      <c r="AD243" s="321">
        <f t="shared" si="79"/>
        <v>0</v>
      </c>
      <c r="AF243" s="321"/>
    </row>
    <row r="244" spans="1:32">
      <c r="A244" t="s">
        <v>772</v>
      </c>
      <c r="B244" t="s">
        <v>767</v>
      </c>
      <c r="C244" s="321">
        <v>0</v>
      </c>
      <c r="D244" s="321">
        <v>0</v>
      </c>
      <c r="E244" s="321">
        <v>0</v>
      </c>
      <c r="F244" s="321">
        <v>0</v>
      </c>
      <c r="G244" s="321">
        <v>0</v>
      </c>
      <c r="H244" s="321">
        <v>0</v>
      </c>
      <c r="I244" s="321">
        <v>0</v>
      </c>
      <c r="J244" s="321">
        <v>0</v>
      </c>
      <c r="K244" s="321">
        <v>7197</v>
      </c>
      <c r="L244" s="321">
        <v>0</v>
      </c>
      <c r="M244" s="321">
        <v>0</v>
      </c>
      <c r="N244" s="321">
        <v>0</v>
      </c>
      <c r="O244" s="321">
        <f t="shared" si="76"/>
        <v>7197</v>
      </c>
      <c r="R244" s="321">
        <f t="shared" si="77"/>
        <v>7197</v>
      </c>
      <c r="T244" s="321"/>
      <c r="U244" s="321">
        <f t="shared" si="75"/>
        <v>7197</v>
      </c>
      <c r="X244" s="321">
        <f t="shared" si="78"/>
        <v>7197</v>
      </c>
      <c r="Z244" s="321"/>
      <c r="AA244" s="321">
        <f t="shared" si="74"/>
        <v>0</v>
      </c>
      <c r="AD244" s="321">
        <f t="shared" si="79"/>
        <v>0</v>
      </c>
      <c r="AF244" s="321"/>
    </row>
    <row r="245" spans="1:32">
      <c r="B245" t="s">
        <v>766</v>
      </c>
      <c r="C245" s="321">
        <v>0</v>
      </c>
      <c r="D245" s="321">
        <v>0</v>
      </c>
      <c r="E245" s="321">
        <v>0</v>
      </c>
      <c r="F245" s="321">
        <v>0</v>
      </c>
      <c r="G245" s="321">
        <v>0</v>
      </c>
      <c r="H245" s="321">
        <v>0</v>
      </c>
      <c r="I245" s="321">
        <v>0</v>
      </c>
      <c r="J245" s="321">
        <v>0</v>
      </c>
      <c r="K245" s="321">
        <v>0</v>
      </c>
      <c r="L245" s="321">
        <v>0</v>
      </c>
      <c r="M245" s="321">
        <v>0</v>
      </c>
      <c r="N245" s="321">
        <v>0</v>
      </c>
      <c r="O245" s="321">
        <f t="shared" si="76"/>
        <v>0</v>
      </c>
      <c r="R245" s="321">
        <f t="shared" si="77"/>
        <v>0</v>
      </c>
      <c r="T245" s="321"/>
      <c r="U245" s="321">
        <f t="shared" si="75"/>
        <v>0</v>
      </c>
      <c r="X245" s="321">
        <f t="shared" si="78"/>
        <v>0</v>
      </c>
      <c r="Z245" s="321"/>
      <c r="AA245" s="321">
        <f t="shared" si="74"/>
        <v>0</v>
      </c>
      <c r="AD245" s="321">
        <f t="shared" si="79"/>
        <v>0</v>
      </c>
      <c r="AF245" s="321"/>
    </row>
    <row r="246" spans="1:32">
      <c r="B246" t="s">
        <v>765</v>
      </c>
      <c r="C246" s="321">
        <v>0</v>
      </c>
      <c r="D246" s="321">
        <v>0</v>
      </c>
      <c r="E246" s="321">
        <v>0</v>
      </c>
      <c r="F246" s="321">
        <v>0</v>
      </c>
      <c r="G246" s="321">
        <v>0</v>
      </c>
      <c r="H246" s="321">
        <v>0</v>
      </c>
      <c r="I246" s="321">
        <v>0</v>
      </c>
      <c r="J246" s="321">
        <v>0</v>
      </c>
      <c r="K246" s="321">
        <v>0</v>
      </c>
      <c r="L246" s="321">
        <v>0</v>
      </c>
      <c r="M246" s="321">
        <v>0</v>
      </c>
      <c r="N246" s="321">
        <v>0</v>
      </c>
      <c r="O246" s="321">
        <f t="shared" si="76"/>
        <v>0</v>
      </c>
      <c r="R246" s="321">
        <f t="shared" si="77"/>
        <v>0</v>
      </c>
      <c r="T246" s="321"/>
      <c r="U246" s="321">
        <f t="shared" si="75"/>
        <v>0</v>
      </c>
      <c r="X246" s="321">
        <f t="shared" si="78"/>
        <v>0</v>
      </c>
      <c r="Z246" s="321"/>
      <c r="AA246" s="321">
        <f t="shared" si="74"/>
        <v>0</v>
      </c>
      <c r="AD246" s="321">
        <f t="shared" si="79"/>
        <v>0</v>
      </c>
      <c r="AF246" s="321"/>
    </row>
    <row r="247" spans="1:32">
      <c r="A247" t="s">
        <v>771</v>
      </c>
      <c r="B247" t="s">
        <v>767</v>
      </c>
      <c r="C247" s="321">
        <v>0</v>
      </c>
      <c r="D247" s="321">
        <v>0</v>
      </c>
      <c r="E247" s="321">
        <v>0</v>
      </c>
      <c r="F247" s="321">
        <v>0</v>
      </c>
      <c r="G247" s="321">
        <v>0</v>
      </c>
      <c r="H247" s="321">
        <v>0</v>
      </c>
      <c r="I247" s="321">
        <v>0</v>
      </c>
      <c r="J247" s="321">
        <v>0</v>
      </c>
      <c r="K247" s="321">
        <v>0</v>
      </c>
      <c r="L247" s="321">
        <v>0</v>
      </c>
      <c r="M247" s="321">
        <v>0</v>
      </c>
      <c r="N247" s="321">
        <v>0</v>
      </c>
      <c r="O247" s="321">
        <f t="shared" si="76"/>
        <v>0</v>
      </c>
      <c r="R247" s="321">
        <f t="shared" si="77"/>
        <v>0</v>
      </c>
      <c r="T247" s="321"/>
      <c r="U247" s="321">
        <f t="shared" si="75"/>
        <v>0</v>
      </c>
      <c r="X247" s="321">
        <f t="shared" si="78"/>
        <v>0</v>
      </c>
      <c r="Z247" s="321"/>
      <c r="AA247" s="321">
        <f t="shared" si="74"/>
        <v>0</v>
      </c>
      <c r="AD247" s="321">
        <f t="shared" si="79"/>
        <v>0</v>
      </c>
      <c r="AF247" s="321"/>
    </row>
    <row r="248" spans="1:32">
      <c r="B248" t="s">
        <v>766</v>
      </c>
      <c r="C248" s="321">
        <v>0</v>
      </c>
      <c r="D248" s="321">
        <v>0</v>
      </c>
      <c r="E248" s="321">
        <v>0</v>
      </c>
      <c r="F248" s="321">
        <v>0</v>
      </c>
      <c r="G248" s="321">
        <v>0</v>
      </c>
      <c r="H248" s="321">
        <v>0</v>
      </c>
      <c r="I248" s="321">
        <v>0</v>
      </c>
      <c r="J248" s="321">
        <v>0</v>
      </c>
      <c r="K248" s="321">
        <v>184.95</v>
      </c>
      <c r="L248" s="321">
        <v>0</v>
      </c>
      <c r="M248" s="321">
        <v>0</v>
      </c>
      <c r="N248" s="321">
        <v>0</v>
      </c>
      <c r="O248" s="321">
        <f t="shared" si="76"/>
        <v>184.95</v>
      </c>
      <c r="R248" s="321">
        <f t="shared" si="77"/>
        <v>184.95</v>
      </c>
      <c r="T248" s="321"/>
      <c r="U248" s="321">
        <f t="shared" si="75"/>
        <v>184.95</v>
      </c>
      <c r="X248" s="321">
        <f t="shared" si="78"/>
        <v>184.95</v>
      </c>
      <c r="Z248" s="321"/>
      <c r="AA248" s="321">
        <f t="shared" si="74"/>
        <v>0</v>
      </c>
      <c r="AD248" s="321">
        <f t="shared" si="79"/>
        <v>0</v>
      </c>
      <c r="AF248" s="321"/>
    </row>
    <row r="249" spans="1:32">
      <c r="B249" t="s">
        <v>765</v>
      </c>
      <c r="C249" s="321">
        <v>0</v>
      </c>
      <c r="D249" s="321">
        <v>0</v>
      </c>
      <c r="E249" s="321">
        <v>0</v>
      </c>
      <c r="F249" s="321">
        <v>0</v>
      </c>
      <c r="G249" s="321">
        <v>0</v>
      </c>
      <c r="H249" s="321">
        <v>0</v>
      </c>
      <c r="I249" s="321">
        <v>0</v>
      </c>
      <c r="J249" s="321">
        <v>0</v>
      </c>
      <c r="K249" s="321">
        <v>1147.27</v>
      </c>
      <c r="L249" s="321">
        <v>0</v>
      </c>
      <c r="M249" s="321">
        <v>0</v>
      </c>
      <c r="N249" s="321">
        <v>0</v>
      </c>
      <c r="O249" s="321">
        <f t="shared" si="76"/>
        <v>1147.27</v>
      </c>
      <c r="R249" s="321">
        <f t="shared" ref="R249:R279" si="80">+O249+Q249</f>
        <v>1147.27</v>
      </c>
      <c r="T249" s="321"/>
      <c r="U249" s="321">
        <f t="shared" si="75"/>
        <v>1147.27</v>
      </c>
      <c r="X249" s="321">
        <f t="shared" ref="X249:X279" si="81">+U249+W249</f>
        <v>1147.27</v>
      </c>
      <c r="Z249" s="321"/>
      <c r="AA249" s="321">
        <f t="shared" si="74"/>
        <v>0</v>
      </c>
      <c r="AD249" s="321">
        <f t="shared" ref="AD249:AD279" si="82">+AA249+AC249</f>
        <v>0</v>
      </c>
      <c r="AF249" s="321"/>
    </row>
    <row r="250" spans="1:32">
      <c r="A250" s="643" t="s">
        <v>1339</v>
      </c>
      <c r="B250" t="s">
        <v>767</v>
      </c>
      <c r="C250" s="321">
        <v>0</v>
      </c>
      <c r="D250" s="321">
        <v>0</v>
      </c>
      <c r="E250" s="321">
        <v>0</v>
      </c>
      <c r="F250" s="321">
        <v>0</v>
      </c>
      <c r="G250" s="321">
        <v>0</v>
      </c>
      <c r="H250" s="321">
        <v>0</v>
      </c>
      <c r="I250" s="321">
        <v>0</v>
      </c>
      <c r="J250" s="321">
        <v>0</v>
      </c>
      <c r="K250" s="321">
        <v>0</v>
      </c>
      <c r="L250" s="321">
        <v>0</v>
      </c>
      <c r="M250" s="321">
        <v>0</v>
      </c>
      <c r="N250" s="321">
        <v>0</v>
      </c>
      <c r="O250" s="321">
        <f t="shared" si="76"/>
        <v>0</v>
      </c>
      <c r="R250" s="321">
        <f t="shared" si="80"/>
        <v>0</v>
      </c>
      <c r="T250" s="321"/>
      <c r="U250" s="321">
        <f t="shared" si="75"/>
        <v>0</v>
      </c>
      <c r="X250" s="321">
        <f t="shared" si="81"/>
        <v>0</v>
      </c>
      <c r="Z250" s="321"/>
      <c r="AA250" s="321">
        <f t="shared" si="74"/>
        <v>0</v>
      </c>
      <c r="AD250" s="321">
        <f t="shared" si="82"/>
        <v>0</v>
      </c>
      <c r="AF250" s="321"/>
    </row>
    <row r="251" spans="1:32">
      <c r="B251" t="s">
        <v>766</v>
      </c>
      <c r="C251" s="321">
        <v>0</v>
      </c>
      <c r="D251" s="321">
        <v>0</v>
      </c>
      <c r="E251" s="321">
        <v>0</v>
      </c>
      <c r="F251" s="321">
        <v>0</v>
      </c>
      <c r="G251" s="321">
        <v>0</v>
      </c>
      <c r="H251" s="321">
        <v>0</v>
      </c>
      <c r="I251" s="321">
        <v>0</v>
      </c>
      <c r="J251" s="321">
        <v>0</v>
      </c>
      <c r="K251" s="321">
        <v>0</v>
      </c>
      <c r="L251" s="321">
        <v>0</v>
      </c>
      <c r="M251" s="321">
        <v>0</v>
      </c>
      <c r="N251" s="321">
        <v>0</v>
      </c>
      <c r="O251" s="321">
        <f t="shared" si="76"/>
        <v>0</v>
      </c>
      <c r="R251" s="321">
        <f t="shared" si="80"/>
        <v>0</v>
      </c>
      <c r="T251" s="321"/>
      <c r="U251" s="321">
        <f t="shared" si="75"/>
        <v>0</v>
      </c>
      <c r="X251" s="321">
        <f t="shared" si="81"/>
        <v>0</v>
      </c>
      <c r="Z251" s="321"/>
      <c r="AA251" s="321">
        <f t="shared" si="74"/>
        <v>0</v>
      </c>
      <c r="AD251" s="321">
        <f t="shared" si="82"/>
        <v>0</v>
      </c>
      <c r="AF251" s="321"/>
    </row>
    <row r="252" spans="1:32">
      <c r="B252" t="s">
        <v>765</v>
      </c>
      <c r="C252" s="321">
        <v>0</v>
      </c>
      <c r="D252" s="321">
        <v>0</v>
      </c>
      <c r="E252" s="321">
        <v>0</v>
      </c>
      <c r="F252" s="321">
        <v>0</v>
      </c>
      <c r="G252" s="321">
        <v>0</v>
      </c>
      <c r="H252" s="321">
        <v>0</v>
      </c>
      <c r="I252" s="321">
        <v>0</v>
      </c>
      <c r="J252" s="321">
        <v>0</v>
      </c>
      <c r="K252" s="321">
        <v>0</v>
      </c>
      <c r="L252" s="321">
        <v>0</v>
      </c>
      <c r="M252" s="321">
        <v>0</v>
      </c>
      <c r="N252" s="321">
        <v>0</v>
      </c>
      <c r="O252" s="321">
        <f t="shared" si="76"/>
        <v>0</v>
      </c>
      <c r="R252" s="321">
        <f t="shared" si="80"/>
        <v>0</v>
      </c>
      <c r="T252" s="321"/>
      <c r="U252" s="321">
        <f t="shared" si="75"/>
        <v>0</v>
      </c>
      <c r="X252" s="321">
        <f t="shared" si="81"/>
        <v>0</v>
      </c>
      <c r="Z252" s="321"/>
      <c r="AA252" s="321">
        <f t="shared" si="74"/>
        <v>0</v>
      </c>
      <c r="AD252" s="321">
        <f t="shared" si="82"/>
        <v>0</v>
      </c>
      <c r="AF252" s="321"/>
    </row>
    <row r="253" spans="1:32">
      <c r="A253" t="s">
        <v>757</v>
      </c>
      <c r="B253" t="s">
        <v>767</v>
      </c>
      <c r="C253" s="321">
        <v>0</v>
      </c>
      <c r="D253" s="321">
        <v>0</v>
      </c>
      <c r="E253" s="321">
        <v>0</v>
      </c>
      <c r="F253" s="321">
        <v>0</v>
      </c>
      <c r="G253" s="321">
        <v>0</v>
      </c>
      <c r="H253" s="321">
        <v>0</v>
      </c>
      <c r="I253" s="321">
        <v>0</v>
      </c>
      <c r="J253" s="321">
        <v>0</v>
      </c>
      <c r="K253" s="321">
        <v>7772</v>
      </c>
      <c r="L253" s="321">
        <v>0</v>
      </c>
      <c r="M253" s="321">
        <v>0</v>
      </c>
      <c r="N253" s="321">
        <v>0</v>
      </c>
      <c r="O253" s="321">
        <f t="shared" si="76"/>
        <v>7772</v>
      </c>
      <c r="Q253" s="321">
        <f>-Q181+Q280</f>
        <v>71</v>
      </c>
      <c r="R253" s="321">
        <f t="shared" si="80"/>
        <v>7843</v>
      </c>
      <c r="T253" s="321"/>
      <c r="U253" s="321">
        <f t="shared" si="75"/>
        <v>7772</v>
      </c>
      <c r="W253" s="321">
        <f>-W181+W280</f>
        <v>71</v>
      </c>
      <c r="X253" s="321">
        <f t="shared" si="81"/>
        <v>7843</v>
      </c>
      <c r="Z253" s="321"/>
      <c r="AA253" s="321">
        <f t="shared" si="74"/>
        <v>0</v>
      </c>
      <c r="AC253" s="321">
        <f>-AC181+AC280</f>
        <v>0</v>
      </c>
      <c r="AD253" s="321">
        <f t="shared" si="82"/>
        <v>0</v>
      </c>
      <c r="AF253" s="321"/>
    </row>
    <row r="254" spans="1:32">
      <c r="B254" t="s">
        <v>766</v>
      </c>
      <c r="C254" s="321">
        <v>0</v>
      </c>
      <c r="D254" s="321">
        <v>0</v>
      </c>
      <c r="E254" s="321">
        <v>0</v>
      </c>
      <c r="F254" s="321">
        <v>0</v>
      </c>
      <c r="G254" s="321">
        <v>0</v>
      </c>
      <c r="H254" s="321">
        <v>0</v>
      </c>
      <c r="I254" s="321">
        <v>0</v>
      </c>
      <c r="J254" s="321">
        <v>0</v>
      </c>
      <c r="K254" s="321">
        <v>821</v>
      </c>
      <c r="L254" s="321">
        <v>0</v>
      </c>
      <c r="M254" s="321">
        <v>0</v>
      </c>
      <c r="N254" s="321">
        <v>0</v>
      </c>
      <c r="O254" s="321">
        <f t="shared" si="76"/>
        <v>821</v>
      </c>
      <c r="Q254" s="321">
        <f>-Q182+Q281</f>
        <v>2</v>
      </c>
      <c r="R254" s="321">
        <f t="shared" si="80"/>
        <v>823</v>
      </c>
      <c r="T254" s="321"/>
      <c r="U254" s="321">
        <f t="shared" si="75"/>
        <v>821</v>
      </c>
      <c r="W254" s="321">
        <f>-W182+W281</f>
        <v>2</v>
      </c>
      <c r="X254" s="321">
        <f t="shared" si="81"/>
        <v>823</v>
      </c>
      <c r="Z254" s="321"/>
      <c r="AA254" s="321">
        <f t="shared" si="74"/>
        <v>0</v>
      </c>
      <c r="AC254" s="321">
        <f>-AC182+AC281</f>
        <v>0</v>
      </c>
      <c r="AD254" s="321">
        <f t="shared" si="82"/>
        <v>0</v>
      </c>
      <c r="AF254" s="321"/>
    </row>
    <row r="255" spans="1:32">
      <c r="B255" t="s">
        <v>765</v>
      </c>
      <c r="C255" s="321">
        <v>0</v>
      </c>
      <c r="D255" s="321">
        <v>0</v>
      </c>
      <c r="E255" s="321">
        <v>0</v>
      </c>
      <c r="F255" s="321">
        <v>0</v>
      </c>
      <c r="G255" s="321">
        <v>0</v>
      </c>
      <c r="H255" s="321">
        <v>0</v>
      </c>
      <c r="I255" s="321">
        <v>0</v>
      </c>
      <c r="J255" s="321">
        <v>0</v>
      </c>
      <c r="K255" s="321">
        <v>1627</v>
      </c>
      <c r="L255" s="321">
        <v>0</v>
      </c>
      <c r="M255" s="321">
        <v>0</v>
      </c>
      <c r="N255" s="321">
        <v>0</v>
      </c>
      <c r="O255" s="321">
        <f t="shared" si="76"/>
        <v>1627</v>
      </c>
      <c r="Q255" s="321">
        <f>-Q183+Q282</f>
        <v>1</v>
      </c>
      <c r="R255" s="321">
        <f t="shared" si="80"/>
        <v>1628</v>
      </c>
      <c r="T255" s="321"/>
      <c r="U255" s="321">
        <f t="shared" si="75"/>
        <v>1627</v>
      </c>
      <c r="W255" s="321">
        <f>-W183+W282</f>
        <v>1</v>
      </c>
      <c r="X255" s="321">
        <f t="shared" si="81"/>
        <v>1628</v>
      </c>
      <c r="Z255" s="321"/>
      <c r="AA255" s="321">
        <f t="shared" si="74"/>
        <v>0</v>
      </c>
      <c r="AC255" s="321">
        <f>-AC183+AC282</f>
        <v>0</v>
      </c>
      <c r="AD255" s="321">
        <f t="shared" si="82"/>
        <v>0</v>
      </c>
      <c r="AF255" s="321"/>
    </row>
    <row r="256" spans="1:32">
      <c r="A256" t="s">
        <v>756</v>
      </c>
      <c r="B256" t="s">
        <v>767</v>
      </c>
      <c r="C256" s="321">
        <v>0</v>
      </c>
      <c r="D256" s="321">
        <v>0</v>
      </c>
      <c r="E256" s="321">
        <v>0</v>
      </c>
      <c r="F256" s="321">
        <v>0</v>
      </c>
      <c r="G256" s="321">
        <v>0</v>
      </c>
      <c r="H256" s="321">
        <v>0</v>
      </c>
      <c r="I256" s="321">
        <v>0</v>
      </c>
      <c r="J256" s="321">
        <v>0</v>
      </c>
      <c r="K256" s="321">
        <v>2294</v>
      </c>
      <c r="L256" s="321">
        <v>0</v>
      </c>
      <c r="M256" s="321">
        <v>0</v>
      </c>
      <c r="N256" s="321">
        <v>0</v>
      </c>
      <c r="O256" s="321">
        <f t="shared" si="76"/>
        <v>2294</v>
      </c>
      <c r="Q256" s="321">
        <f t="shared" ref="Q256:Q258" si="83">-Q184</f>
        <v>10</v>
      </c>
      <c r="R256" s="321">
        <f t="shared" si="80"/>
        <v>2304</v>
      </c>
      <c r="T256" s="321"/>
      <c r="U256" s="321">
        <f t="shared" si="75"/>
        <v>2294</v>
      </c>
      <c r="W256" s="321">
        <f t="shared" ref="W256:W258" si="84">-W184</f>
        <v>10</v>
      </c>
      <c r="X256" s="321">
        <f t="shared" si="81"/>
        <v>2304</v>
      </c>
      <c r="Z256" s="321"/>
      <c r="AA256" s="321">
        <f t="shared" si="74"/>
        <v>0</v>
      </c>
      <c r="AC256" s="321">
        <f t="shared" ref="AC256:AC258" si="85">-AC184</f>
        <v>0</v>
      </c>
      <c r="AD256" s="321">
        <f t="shared" si="82"/>
        <v>0</v>
      </c>
      <c r="AF256" s="321"/>
    </row>
    <row r="257" spans="1:32">
      <c r="B257" t="s">
        <v>766</v>
      </c>
      <c r="C257" s="321">
        <v>0</v>
      </c>
      <c r="D257" s="321">
        <v>0</v>
      </c>
      <c r="E257" s="321">
        <v>0</v>
      </c>
      <c r="F257" s="321">
        <v>0</v>
      </c>
      <c r="G257" s="321">
        <v>0</v>
      </c>
      <c r="H257" s="321">
        <v>0</v>
      </c>
      <c r="I257" s="321">
        <v>0</v>
      </c>
      <c r="J257" s="321">
        <v>0</v>
      </c>
      <c r="K257" s="321">
        <v>0</v>
      </c>
      <c r="L257" s="321">
        <v>0</v>
      </c>
      <c r="M257" s="321">
        <v>0</v>
      </c>
      <c r="N257" s="321">
        <v>0</v>
      </c>
      <c r="O257" s="321">
        <f t="shared" si="76"/>
        <v>0</v>
      </c>
      <c r="Q257" s="321">
        <f t="shared" si="83"/>
        <v>0</v>
      </c>
      <c r="R257" s="321">
        <f t="shared" si="80"/>
        <v>0</v>
      </c>
      <c r="T257" s="321"/>
      <c r="U257" s="321">
        <f t="shared" si="75"/>
        <v>0</v>
      </c>
      <c r="W257" s="321">
        <f t="shared" si="84"/>
        <v>0</v>
      </c>
      <c r="X257" s="321">
        <f t="shared" si="81"/>
        <v>0</v>
      </c>
      <c r="Z257" s="321"/>
      <c r="AA257" s="321">
        <f t="shared" si="74"/>
        <v>0</v>
      </c>
      <c r="AC257" s="321">
        <f t="shared" si="85"/>
        <v>0</v>
      </c>
      <c r="AD257" s="321">
        <f t="shared" si="82"/>
        <v>0</v>
      </c>
      <c r="AF257" s="321"/>
    </row>
    <row r="258" spans="1:32">
      <c r="B258" t="s">
        <v>765</v>
      </c>
      <c r="C258" s="321">
        <v>0</v>
      </c>
      <c r="D258" s="321">
        <v>0</v>
      </c>
      <c r="E258" s="321">
        <v>0</v>
      </c>
      <c r="F258" s="321">
        <v>0</v>
      </c>
      <c r="G258" s="321">
        <v>0</v>
      </c>
      <c r="H258" s="321">
        <v>0</v>
      </c>
      <c r="I258" s="321">
        <v>0</v>
      </c>
      <c r="J258" s="321">
        <v>0</v>
      </c>
      <c r="K258" s="321">
        <v>0</v>
      </c>
      <c r="L258" s="321">
        <v>0</v>
      </c>
      <c r="M258" s="321">
        <v>0</v>
      </c>
      <c r="N258" s="321">
        <v>0</v>
      </c>
      <c r="O258" s="321">
        <f t="shared" si="76"/>
        <v>0</v>
      </c>
      <c r="Q258" s="321">
        <f t="shared" si="83"/>
        <v>0</v>
      </c>
      <c r="R258" s="321">
        <f t="shared" si="80"/>
        <v>0</v>
      </c>
      <c r="T258" s="321"/>
      <c r="U258" s="321">
        <f t="shared" si="75"/>
        <v>0</v>
      </c>
      <c r="W258" s="321">
        <f t="shared" si="84"/>
        <v>0</v>
      </c>
      <c r="X258" s="321">
        <f t="shared" si="81"/>
        <v>0</v>
      </c>
      <c r="Z258" s="321"/>
      <c r="AA258" s="321">
        <f t="shared" si="74"/>
        <v>0</v>
      </c>
      <c r="AC258" s="321">
        <f t="shared" si="85"/>
        <v>0</v>
      </c>
      <c r="AD258" s="321">
        <f t="shared" si="82"/>
        <v>0</v>
      </c>
      <c r="AF258" s="321"/>
    </row>
    <row r="259" spans="1:32">
      <c r="A259" t="s">
        <v>1415</v>
      </c>
      <c r="B259" t="s">
        <v>767</v>
      </c>
      <c r="C259" s="321">
        <v>0</v>
      </c>
      <c r="D259" s="321">
        <v>0</v>
      </c>
      <c r="E259" s="321">
        <v>0</v>
      </c>
      <c r="F259" s="321">
        <v>0</v>
      </c>
      <c r="G259" s="321">
        <v>0</v>
      </c>
      <c r="H259" s="321">
        <v>0</v>
      </c>
      <c r="I259" s="321">
        <v>0</v>
      </c>
      <c r="J259" s="321">
        <v>0</v>
      </c>
      <c r="K259" s="321">
        <v>521</v>
      </c>
      <c r="L259" s="321">
        <v>0</v>
      </c>
      <c r="M259" s="321">
        <v>0</v>
      </c>
      <c r="N259" s="321">
        <v>0</v>
      </c>
      <c r="O259" s="321">
        <f t="shared" ref="O259:O261" si="86">SUM(C259:N259)</f>
        <v>521</v>
      </c>
      <c r="Q259" s="321"/>
      <c r="R259" s="321">
        <f t="shared" ref="R259:R261" si="87">+O259+Q259</f>
        <v>521</v>
      </c>
      <c r="T259" s="321"/>
      <c r="U259" s="321">
        <f t="shared" si="75"/>
        <v>521</v>
      </c>
      <c r="W259" s="321"/>
      <c r="X259" s="321">
        <f t="shared" ref="X259:X261" si="88">+U259+W259</f>
        <v>521</v>
      </c>
      <c r="Z259" s="321"/>
      <c r="AA259" s="321">
        <f t="shared" ref="AA259:AA261" si="89">+N259</f>
        <v>0</v>
      </c>
      <c r="AC259" s="321"/>
      <c r="AD259" s="321">
        <f t="shared" ref="AD259:AD261" si="90">+AA259+AC259</f>
        <v>0</v>
      </c>
      <c r="AF259" s="321"/>
    </row>
    <row r="260" spans="1:32">
      <c r="B260" t="s">
        <v>766</v>
      </c>
      <c r="C260" s="321">
        <v>0</v>
      </c>
      <c r="D260" s="321">
        <v>0</v>
      </c>
      <c r="E260" s="321">
        <v>0</v>
      </c>
      <c r="F260" s="321">
        <v>0</v>
      </c>
      <c r="G260" s="321">
        <v>0</v>
      </c>
      <c r="H260" s="321">
        <v>0</v>
      </c>
      <c r="I260" s="321">
        <v>0</v>
      </c>
      <c r="J260" s="321">
        <v>0</v>
      </c>
      <c r="K260" s="321">
        <v>0</v>
      </c>
      <c r="L260" s="321">
        <v>0</v>
      </c>
      <c r="M260" s="321">
        <v>0</v>
      </c>
      <c r="N260" s="321">
        <v>0</v>
      </c>
      <c r="O260" s="321">
        <f t="shared" si="86"/>
        <v>0</v>
      </c>
      <c r="Q260" s="321"/>
      <c r="R260" s="321">
        <f t="shared" si="87"/>
        <v>0</v>
      </c>
      <c r="T260" s="321"/>
      <c r="U260" s="321">
        <f t="shared" si="75"/>
        <v>0</v>
      </c>
      <c r="W260" s="321"/>
      <c r="X260" s="321">
        <f t="shared" si="88"/>
        <v>0</v>
      </c>
      <c r="Z260" s="321"/>
      <c r="AA260" s="321">
        <f t="shared" si="89"/>
        <v>0</v>
      </c>
      <c r="AC260" s="321"/>
      <c r="AD260" s="321">
        <f t="shared" si="90"/>
        <v>0</v>
      </c>
      <c r="AF260" s="321"/>
    </row>
    <row r="261" spans="1:32">
      <c r="B261" t="s">
        <v>765</v>
      </c>
      <c r="C261" s="321">
        <v>0</v>
      </c>
      <c r="D261" s="321">
        <v>0</v>
      </c>
      <c r="E261" s="321">
        <v>0</v>
      </c>
      <c r="F261" s="321">
        <v>0</v>
      </c>
      <c r="G261" s="321">
        <v>0</v>
      </c>
      <c r="H261" s="321">
        <v>0</v>
      </c>
      <c r="I261" s="321">
        <v>0</v>
      </c>
      <c r="J261" s="321">
        <v>0</v>
      </c>
      <c r="K261" s="321">
        <v>0</v>
      </c>
      <c r="L261" s="321">
        <v>0</v>
      </c>
      <c r="M261" s="321">
        <v>0</v>
      </c>
      <c r="N261" s="321">
        <v>0</v>
      </c>
      <c r="O261" s="321">
        <f t="shared" si="86"/>
        <v>0</v>
      </c>
      <c r="Q261" s="321"/>
      <c r="R261" s="321">
        <f t="shared" si="87"/>
        <v>0</v>
      </c>
      <c r="T261" s="321"/>
      <c r="U261" s="321">
        <f t="shared" si="75"/>
        <v>0</v>
      </c>
      <c r="W261" s="321"/>
      <c r="X261" s="321">
        <f t="shared" si="88"/>
        <v>0</v>
      </c>
      <c r="Z261" s="321"/>
      <c r="AA261" s="321">
        <f t="shared" si="89"/>
        <v>0</v>
      </c>
      <c r="AC261" s="321"/>
      <c r="AD261" s="321">
        <f t="shared" si="90"/>
        <v>0</v>
      </c>
      <c r="AF261" s="321"/>
    </row>
    <row r="262" spans="1:32">
      <c r="A262" t="s">
        <v>755</v>
      </c>
      <c r="B262" t="s">
        <v>767</v>
      </c>
      <c r="C262" s="321">
        <v>0</v>
      </c>
      <c r="D262" s="321">
        <v>0</v>
      </c>
      <c r="E262" s="321">
        <v>0</v>
      </c>
      <c r="F262" s="321">
        <v>0</v>
      </c>
      <c r="G262" s="321">
        <v>0</v>
      </c>
      <c r="H262" s="321">
        <v>0</v>
      </c>
      <c r="I262" s="321">
        <v>0</v>
      </c>
      <c r="J262" s="321">
        <v>0</v>
      </c>
      <c r="K262" s="321">
        <v>8046</v>
      </c>
      <c r="L262" s="321">
        <v>0</v>
      </c>
      <c r="M262" s="321">
        <v>0</v>
      </c>
      <c r="N262" s="321">
        <v>0</v>
      </c>
      <c r="O262" s="321">
        <f t="shared" si="76"/>
        <v>8046</v>
      </c>
      <c r="Q262" s="321">
        <f>-Q187+Q283</f>
        <v>41</v>
      </c>
      <c r="R262" s="321">
        <f t="shared" si="80"/>
        <v>8087</v>
      </c>
      <c r="T262" s="321"/>
      <c r="U262" s="321">
        <f t="shared" si="75"/>
        <v>8046</v>
      </c>
      <c r="W262" s="321">
        <f t="shared" ref="W262:W264" si="91">-W187+W283</f>
        <v>41</v>
      </c>
      <c r="X262" s="321">
        <f t="shared" si="81"/>
        <v>8087</v>
      </c>
      <c r="Z262" s="321"/>
      <c r="AA262" s="321">
        <f t="shared" si="74"/>
        <v>0</v>
      </c>
      <c r="AC262" s="321">
        <f>-AC187+AC283</f>
        <v>0</v>
      </c>
      <c r="AD262" s="321">
        <f t="shared" si="82"/>
        <v>0</v>
      </c>
      <c r="AF262" s="321"/>
    </row>
    <row r="263" spans="1:32">
      <c r="B263" t="s">
        <v>766</v>
      </c>
      <c r="C263" s="321">
        <v>0</v>
      </c>
      <c r="D263" s="321">
        <v>0</v>
      </c>
      <c r="E263" s="321">
        <v>0</v>
      </c>
      <c r="F263" s="321">
        <v>0</v>
      </c>
      <c r="G263" s="321">
        <v>0</v>
      </c>
      <c r="H263" s="321">
        <v>0</v>
      </c>
      <c r="I263" s="321">
        <v>0</v>
      </c>
      <c r="J263" s="321">
        <v>0</v>
      </c>
      <c r="K263" s="321">
        <v>647</v>
      </c>
      <c r="L263" s="321">
        <v>0</v>
      </c>
      <c r="M263" s="321">
        <v>0</v>
      </c>
      <c r="N263" s="321">
        <v>0</v>
      </c>
      <c r="O263" s="321">
        <f t="shared" si="76"/>
        <v>647</v>
      </c>
      <c r="Q263" s="321">
        <f>-Q188+Q284</f>
        <v>6</v>
      </c>
      <c r="R263" s="321">
        <f t="shared" si="80"/>
        <v>653</v>
      </c>
      <c r="T263" s="321"/>
      <c r="U263" s="321">
        <f t="shared" si="75"/>
        <v>647</v>
      </c>
      <c r="W263" s="321">
        <f t="shared" si="91"/>
        <v>6</v>
      </c>
      <c r="X263" s="321">
        <f t="shared" si="81"/>
        <v>653</v>
      </c>
      <c r="Z263" s="321"/>
      <c r="AA263" s="321">
        <f t="shared" si="74"/>
        <v>0</v>
      </c>
      <c r="AC263" s="321">
        <f>-AC188+AC284</f>
        <v>0</v>
      </c>
      <c r="AD263" s="321">
        <f t="shared" si="82"/>
        <v>0</v>
      </c>
      <c r="AF263" s="321"/>
    </row>
    <row r="264" spans="1:32">
      <c r="B264" t="s">
        <v>765</v>
      </c>
      <c r="C264" s="321">
        <v>0</v>
      </c>
      <c r="D264" s="321">
        <v>0</v>
      </c>
      <c r="E264" s="321">
        <v>0</v>
      </c>
      <c r="F264" s="321">
        <v>0</v>
      </c>
      <c r="G264" s="321">
        <v>0</v>
      </c>
      <c r="H264" s="321">
        <v>0</v>
      </c>
      <c r="I264" s="321">
        <v>0</v>
      </c>
      <c r="J264" s="321">
        <v>0</v>
      </c>
      <c r="K264" s="321">
        <v>2095</v>
      </c>
      <c r="L264" s="321">
        <v>0</v>
      </c>
      <c r="M264" s="321">
        <v>0</v>
      </c>
      <c r="N264" s="321">
        <v>0</v>
      </c>
      <c r="O264" s="321">
        <f t="shared" si="76"/>
        <v>2095</v>
      </c>
      <c r="Q264" s="321">
        <f>-Q189+Q285</f>
        <v>5</v>
      </c>
      <c r="R264" s="321">
        <f t="shared" si="80"/>
        <v>2100</v>
      </c>
      <c r="T264" s="321"/>
      <c r="U264" s="321">
        <f t="shared" si="75"/>
        <v>2095</v>
      </c>
      <c r="W264" s="321">
        <f t="shared" si="91"/>
        <v>5</v>
      </c>
      <c r="X264" s="321">
        <f t="shared" si="81"/>
        <v>2100</v>
      </c>
      <c r="Z264" s="321"/>
      <c r="AA264" s="321">
        <f t="shared" si="74"/>
        <v>0</v>
      </c>
      <c r="AC264" s="321">
        <f>-AC189+AC285</f>
        <v>0</v>
      </c>
      <c r="AD264" s="321">
        <f t="shared" si="82"/>
        <v>0</v>
      </c>
      <c r="AF264" s="321"/>
    </row>
    <row r="265" spans="1:32">
      <c r="A265" t="s">
        <v>1416</v>
      </c>
      <c r="B265" t="s">
        <v>767</v>
      </c>
      <c r="C265" s="321">
        <v>0</v>
      </c>
      <c r="D265" s="321">
        <v>0</v>
      </c>
      <c r="E265" s="321">
        <v>0</v>
      </c>
      <c r="F265" s="321">
        <v>0</v>
      </c>
      <c r="G265" s="321">
        <v>0</v>
      </c>
      <c r="H265" s="321">
        <v>0</v>
      </c>
      <c r="I265" s="321">
        <v>0</v>
      </c>
      <c r="J265" s="321">
        <v>0</v>
      </c>
      <c r="K265" s="321">
        <v>127</v>
      </c>
      <c r="L265" s="321">
        <v>0</v>
      </c>
      <c r="M265" s="321">
        <v>0</v>
      </c>
      <c r="N265" s="321">
        <v>0</v>
      </c>
      <c r="O265" s="321">
        <f t="shared" ref="O265:O267" si="92">SUM(C265:N265)</f>
        <v>127</v>
      </c>
      <c r="Q265" s="321"/>
      <c r="R265" s="321">
        <f t="shared" ref="R265:R267" si="93">+O265+Q265</f>
        <v>127</v>
      </c>
      <c r="T265" s="321"/>
      <c r="U265" s="321">
        <f t="shared" si="75"/>
        <v>127</v>
      </c>
      <c r="W265" s="321"/>
      <c r="X265" s="321">
        <f t="shared" ref="X265:X267" si="94">+U265+W265</f>
        <v>127</v>
      </c>
      <c r="Z265" s="321"/>
      <c r="AA265" s="321">
        <f t="shared" ref="AA265:AA267" si="95">+N265</f>
        <v>0</v>
      </c>
      <c r="AC265" s="321"/>
      <c r="AD265" s="321">
        <f t="shared" ref="AD265:AD267" si="96">+AA265+AC265</f>
        <v>0</v>
      </c>
      <c r="AF265" s="321"/>
    </row>
    <row r="266" spans="1:32">
      <c r="B266" t="s">
        <v>766</v>
      </c>
      <c r="C266" s="321">
        <v>0</v>
      </c>
      <c r="D266" s="321">
        <v>0</v>
      </c>
      <c r="E266" s="321">
        <v>0</v>
      </c>
      <c r="F266" s="321">
        <v>0</v>
      </c>
      <c r="G266" s="321">
        <v>0</v>
      </c>
      <c r="H266" s="321">
        <v>0</v>
      </c>
      <c r="I266" s="321">
        <v>0</v>
      </c>
      <c r="J266" s="321">
        <v>0</v>
      </c>
      <c r="K266" s="321">
        <v>0</v>
      </c>
      <c r="L266" s="321">
        <v>0</v>
      </c>
      <c r="M266" s="321">
        <v>0</v>
      </c>
      <c r="N266" s="321">
        <v>0</v>
      </c>
      <c r="O266" s="321">
        <f t="shared" si="92"/>
        <v>0</v>
      </c>
      <c r="Q266" s="321">
        <f>-Q191+Q287</f>
        <v>0</v>
      </c>
      <c r="R266" s="321">
        <f t="shared" si="93"/>
        <v>0</v>
      </c>
      <c r="T266" s="321"/>
      <c r="U266" s="321">
        <f t="shared" si="75"/>
        <v>0</v>
      </c>
      <c r="W266" s="321"/>
      <c r="X266" s="321">
        <f t="shared" si="94"/>
        <v>0</v>
      </c>
      <c r="Z266" s="321"/>
      <c r="AA266" s="321">
        <f t="shared" si="95"/>
        <v>0</v>
      </c>
      <c r="AC266" s="321"/>
      <c r="AD266" s="321">
        <f t="shared" si="96"/>
        <v>0</v>
      </c>
      <c r="AF266" s="321"/>
    </row>
    <row r="267" spans="1:32">
      <c r="B267" t="s">
        <v>765</v>
      </c>
      <c r="C267" s="321">
        <v>0</v>
      </c>
      <c r="D267" s="321">
        <v>0</v>
      </c>
      <c r="E267" s="321">
        <v>0</v>
      </c>
      <c r="F267" s="321">
        <v>0</v>
      </c>
      <c r="G267" s="321">
        <v>0</v>
      </c>
      <c r="H267" s="321">
        <v>0</v>
      </c>
      <c r="I267" s="321">
        <v>0</v>
      </c>
      <c r="J267" s="321">
        <v>0</v>
      </c>
      <c r="K267" s="321">
        <v>0</v>
      </c>
      <c r="L267" s="321">
        <v>0</v>
      </c>
      <c r="M267" s="321">
        <v>0</v>
      </c>
      <c r="N267" s="321">
        <v>0</v>
      </c>
      <c r="O267" s="321">
        <f t="shared" si="92"/>
        <v>0</v>
      </c>
      <c r="Q267" s="321">
        <f>-Q192+Q288</f>
        <v>0</v>
      </c>
      <c r="R267" s="321">
        <f t="shared" si="93"/>
        <v>0</v>
      </c>
      <c r="T267" s="321"/>
      <c r="U267" s="321">
        <f t="shared" ref="U267:U288" si="97">+K267</f>
        <v>0</v>
      </c>
      <c r="W267" s="321"/>
      <c r="X267" s="321">
        <f t="shared" si="94"/>
        <v>0</v>
      </c>
      <c r="Z267" s="321"/>
      <c r="AA267" s="321">
        <f t="shared" si="95"/>
        <v>0</v>
      </c>
      <c r="AC267" s="321"/>
      <c r="AD267" s="321">
        <f t="shared" si="96"/>
        <v>0</v>
      </c>
      <c r="AF267" s="321"/>
    </row>
    <row r="268" spans="1:32">
      <c r="A268" t="s">
        <v>754</v>
      </c>
      <c r="B268" t="s">
        <v>767</v>
      </c>
      <c r="C268" s="321">
        <v>0</v>
      </c>
      <c r="D268" s="321">
        <v>0</v>
      </c>
      <c r="E268" s="321">
        <v>0</v>
      </c>
      <c r="F268" s="321">
        <v>0</v>
      </c>
      <c r="G268" s="321">
        <v>0</v>
      </c>
      <c r="H268" s="321">
        <v>0</v>
      </c>
      <c r="I268" s="321">
        <v>0</v>
      </c>
      <c r="J268" s="321">
        <v>0</v>
      </c>
      <c r="K268" s="321">
        <v>765</v>
      </c>
      <c r="L268" s="321">
        <v>0</v>
      </c>
      <c r="M268" s="321">
        <v>0</v>
      </c>
      <c r="N268" s="321">
        <v>0</v>
      </c>
      <c r="O268" s="321">
        <f t="shared" si="76"/>
        <v>765</v>
      </c>
      <c r="Q268" s="321">
        <f>-Q190</f>
        <v>0</v>
      </c>
      <c r="R268" s="321">
        <f t="shared" si="80"/>
        <v>765</v>
      </c>
      <c r="T268" s="321"/>
      <c r="U268" s="321">
        <f t="shared" si="97"/>
        <v>765</v>
      </c>
      <c r="W268" s="321">
        <f>-W190</f>
        <v>0</v>
      </c>
      <c r="X268" s="321">
        <f t="shared" si="81"/>
        <v>765</v>
      </c>
      <c r="Z268" s="321"/>
      <c r="AA268" s="321">
        <f t="shared" si="74"/>
        <v>0</v>
      </c>
      <c r="AC268" s="321">
        <f>-AC190</f>
        <v>0</v>
      </c>
      <c r="AD268" s="321">
        <f t="shared" si="82"/>
        <v>0</v>
      </c>
      <c r="AF268" s="321"/>
    </row>
    <row r="269" spans="1:32">
      <c r="B269" t="s">
        <v>766</v>
      </c>
      <c r="C269" s="321">
        <v>0</v>
      </c>
      <c r="D269" s="321">
        <v>0</v>
      </c>
      <c r="E269" s="321">
        <v>0</v>
      </c>
      <c r="F269" s="321">
        <v>0</v>
      </c>
      <c r="G269" s="321">
        <v>0</v>
      </c>
      <c r="H269" s="321">
        <v>0</v>
      </c>
      <c r="I269" s="321">
        <v>0</v>
      </c>
      <c r="J269" s="321">
        <v>0</v>
      </c>
      <c r="K269" s="321">
        <v>52</v>
      </c>
      <c r="L269" s="321">
        <v>0</v>
      </c>
      <c r="M269" s="321">
        <v>0</v>
      </c>
      <c r="N269" s="321">
        <v>0</v>
      </c>
      <c r="O269" s="321">
        <f t="shared" si="76"/>
        <v>52</v>
      </c>
      <c r="Q269" s="321">
        <f>-Q191</f>
        <v>0</v>
      </c>
      <c r="R269" s="321">
        <f t="shared" si="80"/>
        <v>52</v>
      </c>
      <c r="T269" s="321"/>
      <c r="U269" s="321">
        <f t="shared" si="97"/>
        <v>52</v>
      </c>
      <c r="W269" s="321">
        <f>-W191</f>
        <v>0</v>
      </c>
      <c r="X269" s="321">
        <f t="shared" si="81"/>
        <v>52</v>
      </c>
      <c r="Z269" s="321"/>
      <c r="AA269" s="321">
        <f t="shared" si="74"/>
        <v>0</v>
      </c>
      <c r="AC269" s="321">
        <f>-AC191</f>
        <v>0</v>
      </c>
      <c r="AD269" s="321">
        <f t="shared" si="82"/>
        <v>0</v>
      </c>
      <c r="AF269" s="321"/>
    </row>
    <row r="270" spans="1:32">
      <c r="B270" t="s">
        <v>765</v>
      </c>
      <c r="C270" s="321">
        <v>0</v>
      </c>
      <c r="D270" s="321">
        <v>0</v>
      </c>
      <c r="E270" s="321">
        <v>0</v>
      </c>
      <c r="F270" s="321">
        <v>0</v>
      </c>
      <c r="G270" s="321">
        <v>0</v>
      </c>
      <c r="H270" s="321">
        <v>0</v>
      </c>
      <c r="I270" s="321">
        <v>0</v>
      </c>
      <c r="J270" s="321">
        <v>0</v>
      </c>
      <c r="K270" s="321">
        <v>0</v>
      </c>
      <c r="L270" s="321">
        <v>0</v>
      </c>
      <c r="M270" s="321">
        <v>0</v>
      </c>
      <c r="N270" s="321">
        <v>0</v>
      </c>
      <c r="O270" s="321">
        <f t="shared" si="76"/>
        <v>0</v>
      </c>
      <c r="Q270" s="321">
        <f>-Q192</f>
        <v>0</v>
      </c>
      <c r="R270" s="321">
        <f t="shared" si="80"/>
        <v>0</v>
      </c>
      <c r="T270" s="321"/>
      <c r="U270" s="321">
        <f t="shared" si="97"/>
        <v>0</v>
      </c>
      <c r="W270" s="321">
        <f>-W192</f>
        <v>0</v>
      </c>
      <c r="X270" s="321">
        <f t="shared" si="81"/>
        <v>0</v>
      </c>
      <c r="Z270" s="321"/>
      <c r="AA270" s="321">
        <f t="shared" ref="AA270:AA288" si="98">+N270</f>
        <v>0</v>
      </c>
      <c r="AC270" s="321">
        <f>-AC192</f>
        <v>0</v>
      </c>
      <c r="AD270" s="321">
        <f t="shared" si="82"/>
        <v>0</v>
      </c>
      <c r="AF270" s="321"/>
    </row>
    <row r="271" spans="1:32">
      <c r="A271" t="s">
        <v>753</v>
      </c>
      <c r="B271" t="s">
        <v>767</v>
      </c>
      <c r="C271" s="321">
        <v>0</v>
      </c>
      <c r="D271" s="321">
        <v>0</v>
      </c>
      <c r="E271" s="321">
        <v>0</v>
      </c>
      <c r="F271" s="321">
        <v>0</v>
      </c>
      <c r="G271" s="321">
        <v>0</v>
      </c>
      <c r="H271" s="321">
        <v>0</v>
      </c>
      <c r="I271" s="321">
        <v>0</v>
      </c>
      <c r="J271" s="321">
        <v>0</v>
      </c>
      <c r="K271" s="321">
        <v>2154</v>
      </c>
      <c r="L271" s="321">
        <v>0</v>
      </c>
      <c r="M271" s="321">
        <v>0</v>
      </c>
      <c r="N271" s="321">
        <v>0</v>
      </c>
      <c r="O271" s="321">
        <f t="shared" si="76"/>
        <v>2154</v>
      </c>
      <c r="Q271" s="321">
        <f t="shared" ref="Q271:Q279" si="99">-Q196</f>
        <v>11</v>
      </c>
      <c r="R271" s="321">
        <f t="shared" si="80"/>
        <v>2165</v>
      </c>
      <c r="T271" s="321"/>
      <c r="U271" s="321">
        <f t="shared" si="97"/>
        <v>2154</v>
      </c>
      <c r="W271" s="321">
        <f t="shared" ref="W271:W279" si="100">-W196</f>
        <v>11</v>
      </c>
      <c r="X271" s="321">
        <f t="shared" si="81"/>
        <v>2165</v>
      </c>
      <c r="Z271" s="321"/>
      <c r="AA271" s="321">
        <f t="shared" si="98"/>
        <v>0</v>
      </c>
      <c r="AC271" s="321">
        <f t="shared" ref="AC271:AC279" si="101">-AC196</f>
        <v>0</v>
      </c>
      <c r="AD271" s="321">
        <f t="shared" si="82"/>
        <v>0</v>
      </c>
      <c r="AF271" s="321"/>
    </row>
    <row r="272" spans="1:32">
      <c r="B272" t="s">
        <v>766</v>
      </c>
      <c r="C272" s="321">
        <v>0</v>
      </c>
      <c r="D272" s="321">
        <v>0</v>
      </c>
      <c r="E272" s="321">
        <v>0</v>
      </c>
      <c r="F272" s="321">
        <v>0</v>
      </c>
      <c r="G272" s="321">
        <v>0</v>
      </c>
      <c r="H272" s="321">
        <v>0</v>
      </c>
      <c r="I272" s="321">
        <v>0</v>
      </c>
      <c r="J272" s="321">
        <v>0</v>
      </c>
      <c r="K272" s="321">
        <v>612</v>
      </c>
      <c r="L272" s="321">
        <v>0</v>
      </c>
      <c r="M272" s="321">
        <v>0</v>
      </c>
      <c r="N272" s="321">
        <v>0</v>
      </c>
      <c r="O272" s="321">
        <f t="shared" si="76"/>
        <v>612</v>
      </c>
      <c r="Q272" s="321">
        <f t="shared" si="99"/>
        <v>0</v>
      </c>
      <c r="R272" s="321">
        <f t="shared" si="80"/>
        <v>612</v>
      </c>
      <c r="T272" s="321"/>
      <c r="U272" s="321">
        <f t="shared" si="97"/>
        <v>612</v>
      </c>
      <c r="W272" s="321">
        <f t="shared" si="100"/>
        <v>0</v>
      </c>
      <c r="X272" s="321">
        <f t="shared" si="81"/>
        <v>612</v>
      </c>
      <c r="Z272" s="321"/>
      <c r="AA272" s="321">
        <f t="shared" si="98"/>
        <v>0</v>
      </c>
      <c r="AC272" s="321">
        <f t="shared" si="101"/>
        <v>0</v>
      </c>
      <c r="AD272" s="321">
        <f t="shared" si="82"/>
        <v>0</v>
      </c>
      <c r="AF272" s="321"/>
    </row>
    <row r="273" spans="1:32">
      <c r="B273" t="s">
        <v>765</v>
      </c>
      <c r="C273" s="321">
        <v>0</v>
      </c>
      <c r="D273" s="321">
        <v>0</v>
      </c>
      <c r="E273" s="321">
        <v>0</v>
      </c>
      <c r="F273" s="321">
        <v>0</v>
      </c>
      <c r="G273" s="321">
        <v>0</v>
      </c>
      <c r="H273" s="321">
        <v>0</v>
      </c>
      <c r="I273" s="321">
        <v>0</v>
      </c>
      <c r="J273" s="321">
        <v>0</v>
      </c>
      <c r="K273" s="321">
        <v>731</v>
      </c>
      <c r="L273" s="321">
        <v>0</v>
      </c>
      <c r="M273" s="321">
        <v>0</v>
      </c>
      <c r="N273" s="321">
        <v>0</v>
      </c>
      <c r="O273" s="321">
        <f t="shared" si="76"/>
        <v>731</v>
      </c>
      <c r="Q273" s="321">
        <f t="shared" si="99"/>
        <v>0</v>
      </c>
      <c r="R273" s="321">
        <f t="shared" si="80"/>
        <v>731</v>
      </c>
      <c r="T273" s="321"/>
      <c r="U273" s="321">
        <f t="shared" si="97"/>
        <v>731</v>
      </c>
      <c r="W273" s="321">
        <f t="shared" si="100"/>
        <v>0</v>
      </c>
      <c r="X273" s="321">
        <f t="shared" si="81"/>
        <v>731</v>
      </c>
      <c r="Z273" s="321"/>
      <c r="AA273" s="321">
        <f t="shared" si="98"/>
        <v>0</v>
      </c>
      <c r="AC273" s="321">
        <f t="shared" si="101"/>
        <v>0</v>
      </c>
      <c r="AD273" s="321">
        <f t="shared" si="82"/>
        <v>0</v>
      </c>
      <c r="AF273" s="321"/>
    </row>
    <row r="274" spans="1:32">
      <c r="A274" t="s">
        <v>752</v>
      </c>
      <c r="B274" t="s">
        <v>767</v>
      </c>
      <c r="C274" s="321">
        <v>0</v>
      </c>
      <c r="D274" s="321">
        <v>0</v>
      </c>
      <c r="E274" s="321">
        <v>0</v>
      </c>
      <c r="F274" s="321">
        <v>0</v>
      </c>
      <c r="G274" s="321">
        <v>0</v>
      </c>
      <c r="H274" s="321">
        <v>0</v>
      </c>
      <c r="I274" s="321">
        <v>0</v>
      </c>
      <c r="J274" s="321">
        <v>0</v>
      </c>
      <c r="K274" s="321">
        <v>2173</v>
      </c>
      <c r="L274" s="321">
        <v>0</v>
      </c>
      <c r="M274" s="321">
        <v>0</v>
      </c>
      <c r="N274" s="321">
        <v>0</v>
      </c>
      <c r="O274" s="321">
        <f t="shared" si="76"/>
        <v>2173</v>
      </c>
      <c r="Q274" s="321">
        <f t="shared" si="99"/>
        <v>8</v>
      </c>
      <c r="R274" s="321">
        <f t="shared" si="80"/>
        <v>2181</v>
      </c>
      <c r="T274" s="321"/>
      <c r="U274" s="321">
        <f t="shared" si="97"/>
        <v>2173</v>
      </c>
      <c r="W274" s="321">
        <f t="shared" si="100"/>
        <v>8</v>
      </c>
      <c r="X274" s="321">
        <f t="shared" si="81"/>
        <v>2181</v>
      </c>
      <c r="Z274" s="321"/>
      <c r="AA274" s="321">
        <f t="shared" si="98"/>
        <v>0</v>
      </c>
      <c r="AC274" s="321">
        <f t="shared" si="101"/>
        <v>0</v>
      </c>
      <c r="AD274" s="321">
        <f t="shared" si="82"/>
        <v>0</v>
      </c>
      <c r="AF274" s="321"/>
    </row>
    <row r="275" spans="1:32">
      <c r="B275" t="s">
        <v>766</v>
      </c>
      <c r="C275" s="321">
        <v>0</v>
      </c>
      <c r="D275" s="321">
        <v>0</v>
      </c>
      <c r="E275" s="321">
        <v>0</v>
      </c>
      <c r="F275" s="321">
        <v>0</v>
      </c>
      <c r="G275" s="321">
        <v>0</v>
      </c>
      <c r="H275" s="321">
        <v>0</v>
      </c>
      <c r="I275" s="321">
        <v>0</v>
      </c>
      <c r="J275" s="321">
        <v>0</v>
      </c>
      <c r="K275" s="321">
        <v>273</v>
      </c>
      <c r="L275" s="321">
        <v>0</v>
      </c>
      <c r="M275" s="321">
        <v>0</v>
      </c>
      <c r="N275" s="321">
        <v>0</v>
      </c>
      <c r="O275" s="321">
        <f t="shared" ref="O275:O288" si="102">SUM(C275:N275)</f>
        <v>273</v>
      </c>
      <c r="Q275" s="321">
        <f t="shared" si="99"/>
        <v>0</v>
      </c>
      <c r="R275" s="321">
        <f t="shared" si="80"/>
        <v>273</v>
      </c>
      <c r="T275" s="321"/>
      <c r="U275" s="321">
        <f t="shared" si="97"/>
        <v>273</v>
      </c>
      <c r="W275" s="321">
        <f t="shared" si="100"/>
        <v>0</v>
      </c>
      <c r="X275" s="321">
        <f t="shared" si="81"/>
        <v>273</v>
      </c>
      <c r="Z275" s="321"/>
      <c r="AA275" s="321">
        <f t="shared" si="98"/>
        <v>0</v>
      </c>
      <c r="AC275" s="321">
        <f t="shared" si="101"/>
        <v>0</v>
      </c>
      <c r="AD275" s="321">
        <f t="shared" si="82"/>
        <v>0</v>
      </c>
      <c r="AF275" s="321"/>
    </row>
    <row r="276" spans="1:32">
      <c r="B276" t="s">
        <v>765</v>
      </c>
      <c r="C276" s="321">
        <v>0</v>
      </c>
      <c r="D276" s="321">
        <v>0</v>
      </c>
      <c r="E276" s="321">
        <v>0</v>
      </c>
      <c r="F276" s="321">
        <v>0</v>
      </c>
      <c r="G276" s="321">
        <v>0</v>
      </c>
      <c r="H276" s="321">
        <v>0</v>
      </c>
      <c r="I276" s="321">
        <v>0</v>
      </c>
      <c r="J276" s="321">
        <v>0</v>
      </c>
      <c r="K276" s="321">
        <v>2875</v>
      </c>
      <c r="L276" s="321">
        <v>0</v>
      </c>
      <c r="M276" s="321">
        <v>0</v>
      </c>
      <c r="N276" s="321">
        <v>0</v>
      </c>
      <c r="O276" s="321">
        <f t="shared" si="102"/>
        <v>2875</v>
      </c>
      <c r="Q276" s="321">
        <f t="shared" si="99"/>
        <v>3</v>
      </c>
      <c r="R276" s="321">
        <f t="shared" si="80"/>
        <v>2878</v>
      </c>
      <c r="T276" s="321"/>
      <c r="U276" s="321">
        <f t="shared" si="97"/>
        <v>2875</v>
      </c>
      <c r="W276" s="321">
        <f t="shared" si="100"/>
        <v>3</v>
      </c>
      <c r="X276" s="321">
        <f t="shared" si="81"/>
        <v>2878</v>
      </c>
      <c r="Z276" s="321"/>
      <c r="AA276" s="321">
        <f t="shared" si="98"/>
        <v>0</v>
      </c>
      <c r="AC276" s="321">
        <f t="shared" si="101"/>
        <v>0</v>
      </c>
      <c r="AD276" s="321">
        <f t="shared" si="82"/>
        <v>0</v>
      </c>
      <c r="AF276" s="321"/>
    </row>
    <row r="277" spans="1:32">
      <c r="A277" t="s">
        <v>751</v>
      </c>
      <c r="B277" t="s">
        <v>767</v>
      </c>
      <c r="C277" s="321">
        <v>0</v>
      </c>
      <c r="D277" s="321">
        <v>0</v>
      </c>
      <c r="E277" s="321">
        <v>0</v>
      </c>
      <c r="F277" s="321">
        <v>0</v>
      </c>
      <c r="G277" s="321">
        <v>0</v>
      </c>
      <c r="H277" s="321">
        <v>0</v>
      </c>
      <c r="I277" s="321">
        <v>0</v>
      </c>
      <c r="J277" s="321">
        <v>0</v>
      </c>
      <c r="K277" s="321">
        <v>0</v>
      </c>
      <c r="L277" s="321">
        <v>0</v>
      </c>
      <c r="M277" s="321">
        <v>0</v>
      </c>
      <c r="N277" s="321">
        <v>0</v>
      </c>
      <c r="O277" s="321">
        <f t="shared" si="102"/>
        <v>0</v>
      </c>
      <c r="Q277" s="321">
        <f t="shared" si="99"/>
        <v>0</v>
      </c>
      <c r="R277" s="321">
        <f t="shared" si="80"/>
        <v>0</v>
      </c>
      <c r="T277" s="321"/>
      <c r="U277" s="321">
        <f t="shared" si="97"/>
        <v>0</v>
      </c>
      <c r="W277" s="321">
        <f t="shared" si="100"/>
        <v>0</v>
      </c>
      <c r="X277" s="321">
        <f t="shared" si="81"/>
        <v>0</v>
      </c>
      <c r="Z277" s="321"/>
      <c r="AA277" s="321">
        <f t="shared" si="98"/>
        <v>0</v>
      </c>
      <c r="AC277" s="321">
        <f t="shared" si="101"/>
        <v>0</v>
      </c>
      <c r="AD277" s="321">
        <f t="shared" si="82"/>
        <v>0</v>
      </c>
      <c r="AF277" s="321"/>
    </row>
    <row r="278" spans="1:32">
      <c r="B278" t="s">
        <v>766</v>
      </c>
      <c r="C278" s="321">
        <v>0</v>
      </c>
      <c r="D278" s="321">
        <v>0</v>
      </c>
      <c r="E278" s="321">
        <v>0</v>
      </c>
      <c r="F278" s="321">
        <v>0</v>
      </c>
      <c r="G278" s="321">
        <v>0</v>
      </c>
      <c r="H278" s="321">
        <v>0</v>
      </c>
      <c r="I278" s="321">
        <v>0</v>
      </c>
      <c r="J278" s="321">
        <v>0</v>
      </c>
      <c r="K278" s="321">
        <v>0</v>
      </c>
      <c r="L278" s="321">
        <v>0</v>
      </c>
      <c r="M278" s="321">
        <v>0</v>
      </c>
      <c r="N278" s="321">
        <v>0</v>
      </c>
      <c r="O278" s="321">
        <f t="shared" si="102"/>
        <v>0</v>
      </c>
      <c r="Q278" s="321">
        <f t="shared" si="99"/>
        <v>0</v>
      </c>
      <c r="R278" s="321">
        <f t="shared" si="80"/>
        <v>0</v>
      </c>
      <c r="T278" s="321"/>
      <c r="U278" s="321">
        <f t="shared" si="97"/>
        <v>0</v>
      </c>
      <c r="W278" s="321">
        <f t="shared" si="100"/>
        <v>0</v>
      </c>
      <c r="X278" s="321">
        <f t="shared" si="81"/>
        <v>0</v>
      </c>
      <c r="Z278" s="321"/>
      <c r="AA278" s="321">
        <f t="shared" si="98"/>
        <v>0</v>
      </c>
      <c r="AC278" s="321">
        <f t="shared" si="101"/>
        <v>0</v>
      </c>
      <c r="AD278" s="321">
        <f t="shared" si="82"/>
        <v>0</v>
      </c>
      <c r="AF278" s="321"/>
    </row>
    <row r="279" spans="1:32">
      <c r="B279" t="s">
        <v>765</v>
      </c>
      <c r="C279" s="321">
        <v>0</v>
      </c>
      <c r="D279" s="321">
        <v>0</v>
      </c>
      <c r="E279" s="321">
        <v>0</v>
      </c>
      <c r="F279" s="321">
        <v>0</v>
      </c>
      <c r="G279" s="321">
        <v>0</v>
      </c>
      <c r="H279" s="321">
        <v>0</v>
      </c>
      <c r="I279" s="321">
        <v>0</v>
      </c>
      <c r="J279" s="321">
        <v>0</v>
      </c>
      <c r="K279" s="321">
        <v>0</v>
      </c>
      <c r="L279" s="321">
        <v>0</v>
      </c>
      <c r="M279" s="321">
        <v>0</v>
      </c>
      <c r="N279" s="321">
        <v>0</v>
      </c>
      <c r="O279" s="321">
        <f t="shared" si="102"/>
        <v>0</v>
      </c>
      <c r="Q279" s="321">
        <f t="shared" si="99"/>
        <v>0</v>
      </c>
      <c r="R279" s="321">
        <f t="shared" si="80"/>
        <v>0</v>
      </c>
      <c r="T279" s="321"/>
      <c r="U279" s="321">
        <f t="shared" si="97"/>
        <v>0</v>
      </c>
      <c r="W279" s="321">
        <f t="shared" si="100"/>
        <v>0</v>
      </c>
      <c r="X279" s="321">
        <f t="shared" si="81"/>
        <v>0</v>
      </c>
      <c r="Z279" s="321"/>
      <c r="AA279" s="321">
        <f t="shared" si="98"/>
        <v>0</v>
      </c>
      <c r="AC279" s="321">
        <f t="shared" si="101"/>
        <v>0</v>
      </c>
      <c r="AD279" s="321">
        <f t="shared" si="82"/>
        <v>0</v>
      </c>
      <c r="AF279" s="321"/>
    </row>
    <row r="280" spans="1:32">
      <c r="A280" t="s">
        <v>770</v>
      </c>
      <c r="B280" t="s">
        <v>767</v>
      </c>
      <c r="C280" s="321">
        <v>0</v>
      </c>
      <c r="D280" s="321">
        <v>0</v>
      </c>
      <c r="E280" s="321">
        <v>0</v>
      </c>
      <c r="F280" s="321">
        <v>0</v>
      </c>
      <c r="G280" s="321">
        <v>0</v>
      </c>
      <c r="H280" s="321">
        <v>0</v>
      </c>
      <c r="I280" s="321">
        <v>0</v>
      </c>
      <c r="J280" s="321">
        <v>0</v>
      </c>
      <c r="K280" s="321">
        <v>0</v>
      </c>
      <c r="L280" s="321">
        <v>0</v>
      </c>
      <c r="M280" s="321">
        <v>0</v>
      </c>
      <c r="N280" s="321">
        <v>0</v>
      </c>
      <c r="O280" s="321">
        <f t="shared" si="102"/>
        <v>0</v>
      </c>
      <c r="P280">
        <v>2</v>
      </c>
      <c r="Q280" s="321">
        <f t="shared" ref="Q280:Q285" si="103">+O280/P280</f>
        <v>0</v>
      </c>
      <c r="T280" s="321"/>
      <c r="U280" s="321">
        <f t="shared" si="97"/>
        <v>0</v>
      </c>
      <c r="V280">
        <v>2</v>
      </c>
      <c r="W280" s="321">
        <f t="shared" ref="W280:W285" si="104">+U280/V280</f>
        <v>0</v>
      </c>
      <c r="Z280" s="321"/>
      <c r="AA280" s="321">
        <f t="shared" si="98"/>
        <v>0</v>
      </c>
      <c r="AB280">
        <v>2</v>
      </c>
      <c r="AC280" s="321">
        <f t="shared" ref="AC280:AC285" si="105">+AA280/AB280</f>
        <v>0</v>
      </c>
      <c r="AF280" s="321"/>
    </row>
    <row r="281" spans="1:32">
      <c r="B281" t="s">
        <v>766</v>
      </c>
      <c r="C281" s="321">
        <v>0</v>
      </c>
      <c r="D281" s="321">
        <v>0</v>
      </c>
      <c r="E281" s="321">
        <v>0</v>
      </c>
      <c r="F281" s="321">
        <v>0</v>
      </c>
      <c r="G281" s="321">
        <v>0</v>
      </c>
      <c r="H281" s="321">
        <v>0</v>
      </c>
      <c r="I281" s="321">
        <v>0</v>
      </c>
      <c r="J281" s="321">
        <v>0</v>
      </c>
      <c r="K281" s="321">
        <v>0</v>
      </c>
      <c r="L281" s="321">
        <v>0</v>
      </c>
      <c r="M281" s="321">
        <v>0</v>
      </c>
      <c r="N281" s="321">
        <v>0</v>
      </c>
      <c r="O281" s="321">
        <f t="shared" si="102"/>
        <v>0</v>
      </c>
      <c r="P281">
        <v>2</v>
      </c>
      <c r="Q281" s="321">
        <f t="shared" si="103"/>
        <v>0</v>
      </c>
      <c r="T281" s="321"/>
      <c r="U281" s="321">
        <f t="shared" si="97"/>
        <v>0</v>
      </c>
      <c r="V281">
        <v>2</v>
      </c>
      <c r="W281" s="321">
        <f t="shared" si="104"/>
        <v>0</v>
      </c>
      <c r="Z281" s="321"/>
      <c r="AA281" s="321">
        <f t="shared" si="98"/>
        <v>0</v>
      </c>
      <c r="AB281">
        <v>2</v>
      </c>
      <c r="AC281" s="321">
        <f t="shared" si="105"/>
        <v>0</v>
      </c>
      <c r="AF281" s="321"/>
    </row>
    <row r="282" spans="1:32">
      <c r="B282" t="s">
        <v>765</v>
      </c>
      <c r="C282" s="321">
        <v>0</v>
      </c>
      <c r="D282" s="321">
        <v>0</v>
      </c>
      <c r="E282" s="321">
        <v>0</v>
      </c>
      <c r="F282" s="321">
        <v>0</v>
      </c>
      <c r="G282" s="321">
        <v>0</v>
      </c>
      <c r="H282" s="321">
        <v>0</v>
      </c>
      <c r="I282" s="321">
        <v>0</v>
      </c>
      <c r="J282" s="321">
        <v>0</v>
      </c>
      <c r="K282" s="321">
        <v>0</v>
      </c>
      <c r="L282" s="321">
        <v>0</v>
      </c>
      <c r="M282" s="321">
        <v>0</v>
      </c>
      <c r="N282" s="321">
        <v>0</v>
      </c>
      <c r="O282" s="321">
        <f t="shared" si="102"/>
        <v>0</v>
      </c>
      <c r="P282">
        <v>2</v>
      </c>
      <c r="Q282" s="321">
        <f t="shared" si="103"/>
        <v>0</v>
      </c>
      <c r="T282" s="321"/>
      <c r="U282" s="321">
        <f t="shared" si="97"/>
        <v>0</v>
      </c>
      <c r="V282">
        <v>2</v>
      </c>
      <c r="W282" s="321">
        <f t="shared" si="104"/>
        <v>0</v>
      </c>
      <c r="Z282" s="321"/>
      <c r="AA282" s="321">
        <f t="shared" si="98"/>
        <v>0</v>
      </c>
      <c r="AB282">
        <v>2</v>
      </c>
      <c r="AC282" s="321">
        <f t="shared" si="105"/>
        <v>0</v>
      </c>
      <c r="AF282" s="321"/>
    </row>
    <row r="283" spans="1:32">
      <c r="A283" t="s">
        <v>769</v>
      </c>
      <c r="B283" t="s">
        <v>767</v>
      </c>
      <c r="C283" s="321">
        <v>0</v>
      </c>
      <c r="D283" s="321">
        <v>0</v>
      </c>
      <c r="E283" s="321">
        <v>0</v>
      </c>
      <c r="F283" s="321">
        <v>0</v>
      </c>
      <c r="G283" s="321">
        <v>0</v>
      </c>
      <c r="H283" s="321">
        <v>0</v>
      </c>
      <c r="I283" s="321">
        <v>0</v>
      </c>
      <c r="J283" s="321">
        <v>0</v>
      </c>
      <c r="K283" s="321">
        <v>0</v>
      </c>
      <c r="L283" s="321">
        <v>0</v>
      </c>
      <c r="M283" s="321">
        <v>0</v>
      </c>
      <c r="N283" s="321">
        <v>0</v>
      </c>
      <c r="O283" s="321">
        <f t="shared" si="102"/>
        <v>0</v>
      </c>
      <c r="P283">
        <v>2</v>
      </c>
      <c r="Q283" s="321">
        <f t="shared" si="103"/>
        <v>0</v>
      </c>
      <c r="T283" s="321"/>
      <c r="U283" s="321">
        <f t="shared" si="97"/>
        <v>0</v>
      </c>
      <c r="V283">
        <v>2</v>
      </c>
      <c r="W283" s="321">
        <f t="shared" si="104"/>
        <v>0</v>
      </c>
      <c r="Z283" s="321"/>
      <c r="AA283" s="321">
        <f t="shared" si="98"/>
        <v>0</v>
      </c>
      <c r="AB283">
        <v>2</v>
      </c>
      <c r="AC283" s="321">
        <f t="shared" si="105"/>
        <v>0</v>
      </c>
      <c r="AF283" s="321"/>
    </row>
    <row r="284" spans="1:32">
      <c r="B284" t="s">
        <v>766</v>
      </c>
      <c r="C284" s="321">
        <v>0</v>
      </c>
      <c r="D284" s="321">
        <v>0</v>
      </c>
      <c r="E284" s="321">
        <v>0</v>
      </c>
      <c r="F284" s="321">
        <v>0</v>
      </c>
      <c r="G284" s="321">
        <v>0</v>
      </c>
      <c r="H284" s="321">
        <v>0</v>
      </c>
      <c r="I284" s="321">
        <v>0</v>
      </c>
      <c r="J284" s="321">
        <v>0</v>
      </c>
      <c r="K284" s="321">
        <v>0</v>
      </c>
      <c r="L284" s="321">
        <v>0</v>
      </c>
      <c r="M284" s="321">
        <v>0</v>
      </c>
      <c r="N284" s="321">
        <v>0</v>
      </c>
      <c r="O284" s="321">
        <f t="shared" si="102"/>
        <v>0</v>
      </c>
      <c r="P284">
        <v>2</v>
      </c>
      <c r="Q284" s="321">
        <f t="shared" si="103"/>
        <v>0</v>
      </c>
      <c r="T284" s="321"/>
      <c r="U284" s="321">
        <f t="shared" si="97"/>
        <v>0</v>
      </c>
      <c r="V284">
        <v>2</v>
      </c>
      <c r="W284" s="321">
        <f t="shared" si="104"/>
        <v>0</v>
      </c>
      <c r="Z284" s="321"/>
      <c r="AA284" s="321">
        <f t="shared" si="98"/>
        <v>0</v>
      </c>
      <c r="AB284">
        <v>2</v>
      </c>
      <c r="AC284" s="321">
        <f t="shared" si="105"/>
        <v>0</v>
      </c>
      <c r="AF284" s="321"/>
    </row>
    <row r="285" spans="1:32">
      <c r="B285" t="s">
        <v>765</v>
      </c>
      <c r="C285" s="321">
        <v>0</v>
      </c>
      <c r="D285" s="321">
        <v>0</v>
      </c>
      <c r="E285" s="321">
        <v>0</v>
      </c>
      <c r="F285" s="321">
        <v>0</v>
      </c>
      <c r="G285" s="321">
        <v>0</v>
      </c>
      <c r="H285" s="321">
        <v>0</v>
      </c>
      <c r="I285" s="321">
        <v>0</v>
      </c>
      <c r="J285" s="321">
        <v>0</v>
      </c>
      <c r="K285" s="321">
        <v>0</v>
      </c>
      <c r="L285" s="321">
        <v>0</v>
      </c>
      <c r="M285" s="321">
        <v>0</v>
      </c>
      <c r="N285" s="321">
        <v>0</v>
      </c>
      <c r="O285" s="321">
        <f t="shared" si="102"/>
        <v>0</v>
      </c>
      <c r="P285">
        <v>2</v>
      </c>
      <c r="Q285" s="321">
        <f t="shared" si="103"/>
        <v>0</v>
      </c>
      <c r="T285" s="321"/>
      <c r="U285" s="321">
        <f t="shared" si="97"/>
        <v>0</v>
      </c>
      <c r="V285">
        <v>2</v>
      </c>
      <c r="W285" s="321">
        <f t="shared" si="104"/>
        <v>0</v>
      </c>
      <c r="Z285" s="321"/>
      <c r="AA285" s="321">
        <f t="shared" si="98"/>
        <v>0</v>
      </c>
      <c r="AB285">
        <v>2</v>
      </c>
      <c r="AC285" s="321">
        <f t="shared" si="105"/>
        <v>0</v>
      </c>
      <c r="AF285" s="321"/>
    </row>
    <row r="286" spans="1:32">
      <c r="A286" t="s">
        <v>768</v>
      </c>
      <c r="B286" t="s">
        <v>767</v>
      </c>
      <c r="C286" s="321">
        <v>0</v>
      </c>
      <c r="D286" s="321">
        <v>0</v>
      </c>
      <c r="E286" s="321">
        <v>0</v>
      </c>
      <c r="F286" s="321">
        <v>0</v>
      </c>
      <c r="G286" s="321">
        <v>0</v>
      </c>
      <c r="H286" s="321">
        <v>0</v>
      </c>
      <c r="I286" s="321">
        <v>0</v>
      </c>
      <c r="J286" s="321">
        <v>0</v>
      </c>
      <c r="K286" s="321">
        <v>8</v>
      </c>
      <c r="L286" s="321">
        <v>0</v>
      </c>
      <c r="M286" s="321">
        <v>0</v>
      </c>
      <c r="N286" s="321">
        <v>0</v>
      </c>
      <c r="O286" s="321">
        <f t="shared" si="102"/>
        <v>8</v>
      </c>
      <c r="R286" s="321">
        <f>+O286+Q286</f>
        <v>8</v>
      </c>
      <c r="T286" s="321"/>
      <c r="U286" s="321">
        <f t="shared" si="97"/>
        <v>8</v>
      </c>
      <c r="X286" s="321">
        <f>+U286+W286</f>
        <v>8</v>
      </c>
      <c r="Z286" s="321"/>
      <c r="AA286" s="321">
        <f t="shared" si="98"/>
        <v>0</v>
      </c>
      <c r="AD286" s="321">
        <f>+AA286+AC286</f>
        <v>0</v>
      </c>
      <c r="AF286" s="321"/>
    </row>
    <row r="287" spans="1:32">
      <c r="B287" t="s">
        <v>766</v>
      </c>
      <c r="C287" s="321">
        <v>0</v>
      </c>
      <c r="D287" s="321">
        <v>0</v>
      </c>
      <c r="E287" s="321">
        <v>0</v>
      </c>
      <c r="F287" s="321">
        <v>0</v>
      </c>
      <c r="G287" s="321">
        <v>0</v>
      </c>
      <c r="H287" s="321">
        <v>0</v>
      </c>
      <c r="I287" s="321">
        <v>0</v>
      </c>
      <c r="J287" s="321">
        <v>0</v>
      </c>
      <c r="K287" s="321">
        <v>0</v>
      </c>
      <c r="L287" s="321">
        <v>0</v>
      </c>
      <c r="M287" s="321">
        <v>0</v>
      </c>
      <c r="N287" s="321">
        <v>0</v>
      </c>
      <c r="O287" s="321">
        <f t="shared" si="102"/>
        <v>0</v>
      </c>
      <c r="R287" s="321">
        <f>+O287+Q287</f>
        <v>0</v>
      </c>
      <c r="T287" s="321"/>
      <c r="U287" s="321">
        <f t="shared" si="97"/>
        <v>0</v>
      </c>
      <c r="X287" s="321">
        <f>+U287+W287</f>
        <v>0</v>
      </c>
      <c r="Z287" s="321"/>
      <c r="AA287" s="321">
        <f t="shared" si="98"/>
        <v>0</v>
      </c>
      <c r="AD287" s="321">
        <f>+AA287+AC287</f>
        <v>0</v>
      </c>
      <c r="AF287" s="321"/>
    </row>
    <row r="288" spans="1:32">
      <c r="B288" t="s">
        <v>765</v>
      </c>
      <c r="C288" s="321">
        <v>0</v>
      </c>
      <c r="D288" s="321">
        <v>0</v>
      </c>
      <c r="E288" s="321">
        <v>0</v>
      </c>
      <c r="F288" s="321">
        <v>0</v>
      </c>
      <c r="G288" s="321">
        <v>0</v>
      </c>
      <c r="H288" s="321">
        <v>0</v>
      </c>
      <c r="I288" s="321">
        <v>0</v>
      </c>
      <c r="J288" s="321">
        <v>0</v>
      </c>
      <c r="K288" s="321">
        <v>0</v>
      </c>
      <c r="L288" s="321">
        <v>0</v>
      </c>
      <c r="M288" s="321">
        <v>0</v>
      </c>
      <c r="N288" s="321">
        <v>0</v>
      </c>
      <c r="O288" s="321">
        <f t="shared" si="102"/>
        <v>0</v>
      </c>
      <c r="R288" s="321">
        <f>+O288+Q288</f>
        <v>0</v>
      </c>
      <c r="T288" s="321"/>
      <c r="U288" s="321">
        <f t="shared" si="97"/>
        <v>0</v>
      </c>
      <c r="X288" s="321">
        <f>+U288+W288</f>
        <v>0</v>
      </c>
      <c r="Z288" s="321"/>
      <c r="AA288" s="321">
        <f t="shared" si="98"/>
        <v>0</v>
      </c>
      <c r="AD288" s="321">
        <f>+AA288+AC288</f>
        <v>0</v>
      </c>
      <c r="AF288" s="321"/>
    </row>
    <row r="292" spans="30:30">
      <c r="AD292" s="321">
        <f>SUM(AD10:AD288)</f>
        <v>0</v>
      </c>
    </row>
  </sheetData>
  <printOptions headings="1"/>
  <pageMargins left="0" right="0" top="0.09" bottom="0.4" header="0.5" footer="0.5"/>
  <pageSetup scale="73" fitToHeight="4" orientation="portrait" horizontalDpi="300" verticalDpi="300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2"/>
  <sheetViews>
    <sheetView workbookViewId="0">
      <selection activeCell="G14" sqref="G14"/>
    </sheetView>
  </sheetViews>
  <sheetFormatPr defaultRowHeight="12.75"/>
  <cols>
    <col min="3" max="3" width="3.140625" customWidth="1"/>
    <col min="6" max="6" width="10" customWidth="1"/>
    <col min="18" max="18" width="10.140625" bestFit="1" customWidth="1"/>
    <col min="19" max="20" width="10.140625" customWidth="1"/>
    <col min="21" max="21" width="10.85546875" customWidth="1"/>
  </cols>
  <sheetData>
    <row r="1" spans="1:35">
      <c r="A1" t="s">
        <v>0</v>
      </c>
    </row>
    <row r="3" spans="1:35">
      <c r="A3" t="s">
        <v>867</v>
      </c>
      <c r="E3" s="643" t="s">
        <v>1342</v>
      </c>
      <c r="F3" s="647" t="s">
        <v>689</v>
      </c>
      <c r="G3" s="662"/>
      <c r="H3" s="663"/>
    </row>
    <row r="4" spans="1:35">
      <c r="G4" s="195"/>
      <c r="H4" s="195"/>
    </row>
    <row r="5" spans="1:35">
      <c r="A5" s="654" t="s">
        <v>1485</v>
      </c>
      <c r="B5" s="195"/>
    </row>
    <row r="6" spans="1:35">
      <c r="X6" t="s">
        <v>326</v>
      </c>
    </row>
    <row r="7" spans="1:35">
      <c r="D7" s="2"/>
      <c r="E7" s="2"/>
      <c r="F7" s="2"/>
      <c r="G7" s="2"/>
      <c r="H7" s="2"/>
      <c r="I7" s="2"/>
      <c r="Q7" s="2" t="s">
        <v>99</v>
      </c>
      <c r="R7" s="2" t="s">
        <v>99</v>
      </c>
      <c r="S7" s="645" t="s">
        <v>151</v>
      </c>
      <c r="T7" s="645" t="s">
        <v>151</v>
      </c>
    </row>
    <row r="8" spans="1:35">
      <c r="Q8" s="54">
        <v>44470</v>
      </c>
      <c r="R8" s="54">
        <v>44774</v>
      </c>
      <c r="S8" s="54">
        <v>44470</v>
      </c>
      <c r="T8" s="54">
        <v>44774</v>
      </c>
      <c r="U8" s="2" t="s">
        <v>113</v>
      </c>
    </row>
    <row r="9" spans="1:35">
      <c r="A9" t="s">
        <v>866</v>
      </c>
      <c r="D9" s="734" t="s">
        <v>504</v>
      </c>
      <c r="E9" s="734" t="s">
        <v>503</v>
      </c>
      <c r="F9" s="734" t="s">
        <v>502</v>
      </c>
      <c r="G9" s="734" t="s">
        <v>513</v>
      </c>
      <c r="H9" s="734" t="s">
        <v>512</v>
      </c>
      <c r="I9" s="734" t="s">
        <v>511</v>
      </c>
      <c r="J9" s="734" t="s">
        <v>510</v>
      </c>
      <c r="K9" s="734" t="s">
        <v>509</v>
      </c>
      <c r="L9" s="734" t="s">
        <v>508</v>
      </c>
      <c r="M9" s="734" t="s">
        <v>507</v>
      </c>
      <c r="N9" s="734" t="s">
        <v>506</v>
      </c>
      <c r="O9" s="734" t="s">
        <v>505</v>
      </c>
      <c r="P9" s="2" t="s">
        <v>118</v>
      </c>
      <c r="Q9" s="54">
        <v>44773</v>
      </c>
      <c r="R9" s="54">
        <v>44834</v>
      </c>
      <c r="S9" s="54">
        <v>44773</v>
      </c>
      <c r="T9" s="54">
        <v>44834</v>
      </c>
      <c r="U9" s="2" t="s">
        <v>151</v>
      </c>
      <c r="W9" s="2"/>
      <c r="X9" s="734" t="s">
        <v>504</v>
      </c>
      <c r="Y9" s="734" t="s">
        <v>503</v>
      </c>
      <c r="Z9" s="734" t="s">
        <v>502</v>
      </c>
      <c r="AA9" s="734" t="s">
        <v>513</v>
      </c>
      <c r="AB9" s="734" t="s">
        <v>512</v>
      </c>
      <c r="AC9" s="734" t="s">
        <v>511</v>
      </c>
      <c r="AD9" s="734" t="s">
        <v>510</v>
      </c>
      <c r="AE9" s="734" t="s">
        <v>509</v>
      </c>
      <c r="AF9" s="734" t="s">
        <v>508</v>
      </c>
      <c r="AG9" s="734" t="s">
        <v>507</v>
      </c>
      <c r="AH9" s="734" t="s">
        <v>506</v>
      </c>
      <c r="AI9" s="734" t="s">
        <v>505</v>
      </c>
    </row>
    <row r="11" spans="1:35">
      <c r="A11" t="s">
        <v>447</v>
      </c>
    </row>
    <row r="12" spans="1:35">
      <c r="A12" t="s">
        <v>865</v>
      </c>
      <c r="D12">
        <v>19</v>
      </c>
      <c r="E12">
        <v>19</v>
      </c>
      <c r="F12">
        <v>19</v>
      </c>
      <c r="G12">
        <v>19</v>
      </c>
      <c r="H12">
        <v>19</v>
      </c>
      <c r="I12">
        <v>19</v>
      </c>
      <c r="J12">
        <v>19</v>
      </c>
      <c r="K12">
        <v>19</v>
      </c>
      <c r="L12">
        <v>19</v>
      </c>
      <c r="M12">
        <v>19</v>
      </c>
      <c r="N12">
        <v>19</v>
      </c>
      <c r="O12">
        <v>20</v>
      </c>
      <c r="P12">
        <f>SUM(D12:O12)</f>
        <v>229</v>
      </c>
      <c r="Q12" s="53">
        <v>19.7</v>
      </c>
      <c r="R12" s="53">
        <v>19.7</v>
      </c>
      <c r="S12" s="53">
        <f>SUM(D12:M12)*Q12</f>
        <v>3743</v>
      </c>
      <c r="T12" s="53">
        <f>SUM(N12:O12)*R12</f>
        <v>768.3</v>
      </c>
      <c r="U12" s="53">
        <f>+S12+T12</f>
        <v>4511.3</v>
      </c>
      <c r="W12" s="84"/>
      <c r="X12" s="53">
        <f t="shared" ref="X12:AG12" si="0">D12*$Q12</f>
        <v>374.3</v>
      </c>
      <c r="Y12" s="53">
        <f t="shared" si="0"/>
        <v>374.3</v>
      </c>
      <c r="Z12" s="53">
        <f t="shared" si="0"/>
        <v>374.3</v>
      </c>
      <c r="AA12" s="53">
        <f t="shared" si="0"/>
        <v>374.3</v>
      </c>
      <c r="AB12" s="53">
        <f t="shared" si="0"/>
        <v>374.3</v>
      </c>
      <c r="AC12" s="53">
        <f t="shared" si="0"/>
        <v>374.3</v>
      </c>
      <c r="AD12" s="53">
        <f t="shared" si="0"/>
        <v>374.3</v>
      </c>
      <c r="AE12" s="53">
        <f t="shared" si="0"/>
        <v>374.3</v>
      </c>
      <c r="AF12" s="53">
        <f t="shared" si="0"/>
        <v>374.3</v>
      </c>
      <c r="AG12" s="53">
        <f t="shared" si="0"/>
        <v>374.3</v>
      </c>
      <c r="AH12" s="53">
        <f t="shared" ref="AH12:AI12" si="1">N12*$R12</f>
        <v>374.3</v>
      </c>
      <c r="AI12" s="53">
        <f t="shared" si="1"/>
        <v>394</v>
      </c>
    </row>
    <row r="13" spans="1:35">
      <c r="A13" t="s">
        <v>862</v>
      </c>
      <c r="D13">
        <v>188</v>
      </c>
      <c r="E13">
        <v>187</v>
      </c>
      <c r="F13">
        <v>187</v>
      </c>
      <c r="G13">
        <v>187</v>
      </c>
      <c r="H13">
        <v>185</v>
      </c>
      <c r="I13">
        <v>185</v>
      </c>
      <c r="J13">
        <v>185</v>
      </c>
      <c r="K13">
        <v>185</v>
      </c>
      <c r="L13">
        <v>185</v>
      </c>
      <c r="M13">
        <v>185</v>
      </c>
      <c r="N13">
        <v>186</v>
      </c>
      <c r="O13">
        <v>189</v>
      </c>
      <c r="P13">
        <f>SUM(D13:O13)</f>
        <v>2234</v>
      </c>
      <c r="Q13" s="53">
        <v>21.4</v>
      </c>
      <c r="R13" s="53">
        <v>21.4</v>
      </c>
      <c r="S13" s="53">
        <f t="shared" ref="S13:S16" si="2">SUM(D13:M13)*Q13</f>
        <v>39782.6</v>
      </c>
      <c r="T13" s="53">
        <f t="shared" ref="T13:T16" si="3">SUM(N13:O13)*R13</f>
        <v>8024.9999999999991</v>
      </c>
      <c r="U13" s="53">
        <f t="shared" ref="U13:U16" si="4">+S13+T13</f>
        <v>47807.6</v>
      </c>
      <c r="W13" s="84"/>
      <c r="X13" s="53">
        <f t="shared" ref="X13:X16" si="5">D13*$Q13</f>
        <v>4023.2</v>
      </c>
      <c r="Y13" s="53">
        <f t="shared" ref="Y13:Y16" si="6">E13*$Q13</f>
        <v>4001.7999999999997</v>
      </c>
      <c r="Z13" s="53">
        <f t="shared" ref="Z13:Z33" si="7">F13*$Q13</f>
        <v>4001.7999999999997</v>
      </c>
      <c r="AA13" s="53">
        <f t="shared" ref="AA13:AA33" si="8">G13*$Q13</f>
        <v>4001.7999999999997</v>
      </c>
      <c r="AB13" s="53">
        <f t="shared" ref="AB13:AB33" si="9">H13*$Q13</f>
        <v>3958.9999999999995</v>
      </c>
      <c r="AC13" s="53">
        <f t="shared" ref="AC13:AC33" si="10">I13*$Q13</f>
        <v>3958.9999999999995</v>
      </c>
      <c r="AD13" s="53">
        <f t="shared" ref="AD13:AD33" si="11">J13*$Q13</f>
        <v>3958.9999999999995</v>
      </c>
      <c r="AE13" s="53">
        <f t="shared" ref="AE13:AE33" si="12">K13*$Q13</f>
        <v>3958.9999999999995</v>
      </c>
      <c r="AF13" s="53">
        <f t="shared" ref="AF13:AF33" si="13">L13*$Q13</f>
        <v>3958.9999999999995</v>
      </c>
      <c r="AG13" s="53">
        <f t="shared" ref="AG13:AG33" si="14">M13*$Q13</f>
        <v>3958.9999999999995</v>
      </c>
      <c r="AH13" s="53">
        <f t="shared" ref="AH13:AH33" si="15">N13*$R13</f>
        <v>3980.3999999999996</v>
      </c>
      <c r="AI13" s="53">
        <f t="shared" ref="AI13:AI33" si="16">O13*$R13</f>
        <v>4044.6</v>
      </c>
    </row>
    <row r="14" spans="1:35">
      <c r="A14" t="s">
        <v>861</v>
      </c>
      <c r="D14">
        <v>14</v>
      </c>
      <c r="E14">
        <v>13</v>
      </c>
      <c r="F14">
        <v>13</v>
      </c>
      <c r="G14">
        <v>13</v>
      </c>
      <c r="H14">
        <v>15</v>
      </c>
      <c r="I14">
        <v>15</v>
      </c>
      <c r="J14">
        <v>15</v>
      </c>
      <c r="K14">
        <v>15</v>
      </c>
      <c r="L14">
        <v>15</v>
      </c>
      <c r="M14">
        <v>15</v>
      </c>
      <c r="N14">
        <v>15</v>
      </c>
      <c r="O14">
        <v>15</v>
      </c>
      <c r="P14">
        <f>SUM(D14:O14)</f>
        <v>173</v>
      </c>
      <c r="Q14" s="53">
        <v>31.75</v>
      </c>
      <c r="R14" s="53">
        <v>31.75</v>
      </c>
      <c r="S14" s="53">
        <f t="shared" si="2"/>
        <v>4540.25</v>
      </c>
      <c r="T14" s="53">
        <f t="shared" si="3"/>
        <v>952.5</v>
      </c>
      <c r="U14" s="53">
        <f t="shared" si="4"/>
        <v>5492.75</v>
      </c>
      <c r="W14" s="84"/>
      <c r="X14" s="53">
        <f t="shared" si="5"/>
        <v>444.5</v>
      </c>
      <c r="Y14" s="53">
        <f t="shared" si="6"/>
        <v>412.75</v>
      </c>
      <c r="Z14" s="53">
        <f t="shared" si="7"/>
        <v>412.75</v>
      </c>
      <c r="AA14" s="53">
        <f t="shared" si="8"/>
        <v>412.75</v>
      </c>
      <c r="AB14" s="53">
        <f t="shared" si="9"/>
        <v>476.25</v>
      </c>
      <c r="AC14" s="53">
        <f t="shared" si="10"/>
        <v>476.25</v>
      </c>
      <c r="AD14" s="53">
        <f t="shared" si="11"/>
        <v>476.25</v>
      </c>
      <c r="AE14" s="53">
        <f t="shared" si="12"/>
        <v>476.25</v>
      </c>
      <c r="AF14" s="53">
        <f t="shared" si="13"/>
        <v>476.25</v>
      </c>
      <c r="AG14" s="53">
        <f t="shared" si="14"/>
        <v>476.25</v>
      </c>
      <c r="AH14" s="53">
        <f t="shared" si="15"/>
        <v>476.25</v>
      </c>
      <c r="AI14" s="53">
        <f t="shared" si="16"/>
        <v>476.25</v>
      </c>
    </row>
    <row r="15" spans="1:35">
      <c r="A15" t="s">
        <v>864</v>
      </c>
      <c r="D15">
        <v>6</v>
      </c>
      <c r="E15">
        <v>6</v>
      </c>
      <c r="F15">
        <v>6</v>
      </c>
      <c r="G15">
        <v>5</v>
      </c>
      <c r="H15">
        <v>5</v>
      </c>
      <c r="I15">
        <v>5</v>
      </c>
      <c r="J15">
        <v>5</v>
      </c>
      <c r="K15">
        <v>5</v>
      </c>
      <c r="L15">
        <v>5</v>
      </c>
      <c r="M15">
        <v>5</v>
      </c>
      <c r="N15">
        <v>5</v>
      </c>
      <c r="O15">
        <v>5</v>
      </c>
      <c r="P15">
        <f>SUM(D15:O15)</f>
        <v>63</v>
      </c>
      <c r="Q15" s="53">
        <v>49.8</v>
      </c>
      <c r="R15" s="53">
        <v>49.8</v>
      </c>
      <c r="S15" s="53">
        <f t="shared" si="2"/>
        <v>2639.3999999999996</v>
      </c>
      <c r="T15" s="53">
        <f t="shared" si="3"/>
        <v>498</v>
      </c>
      <c r="U15" s="53">
        <f t="shared" si="4"/>
        <v>3137.3999999999996</v>
      </c>
      <c r="W15" s="84"/>
      <c r="X15" s="53">
        <f t="shared" si="5"/>
        <v>298.79999999999995</v>
      </c>
      <c r="Y15" s="53">
        <f t="shared" si="6"/>
        <v>298.79999999999995</v>
      </c>
      <c r="Z15" s="53">
        <f t="shared" si="7"/>
        <v>298.79999999999995</v>
      </c>
      <c r="AA15" s="53">
        <f t="shared" si="8"/>
        <v>249</v>
      </c>
      <c r="AB15" s="53">
        <f t="shared" si="9"/>
        <v>249</v>
      </c>
      <c r="AC15" s="53">
        <f t="shared" si="10"/>
        <v>249</v>
      </c>
      <c r="AD15" s="53">
        <f t="shared" si="11"/>
        <v>249</v>
      </c>
      <c r="AE15" s="53">
        <f t="shared" si="12"/>
        <v>249</v>
      </c>
      <c r="AF15" s="53">
        <f t="shared" si="13"/>
        <v>249</v>
      </c>
      <c r="AG15" s="53">
        <f t="shared" si="14"/>
        <v>249</v>
      </c>
      <c r="AH15" s="53">
        <f t="shared" si="15"/>
        <v>249</v>
      </c>
      <c r="AI15" s="53">
        <f t="shared" si="16"/>
        <v>249</v>
      </c>
    </row>
    <row r="16" spans="1:35">
      <c r="A16" t="s">
        <v>863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f>SUM(D16:O16)</f>
        <v>0</v>
      </c>
      <c r="Q16" s="53">
        <v>0</v>
      </c>
      <c r="R16" s="53">
        <v>0</v>
      </c>
      <c r="S16" s="53">
        <f t="shared" si="2"/>
        <v>0</v>
      </c>
      <c r="T16" s="53">
        <f t="shared" si="3"/>
        <v>0</v>
      </c>
      <c r="U16" s="53">
        <f t="shared" si="4"/>
        <v>0</v>
      </c>
      <c r="V16" s="53">
        <f>SUM(U12:U16)</f>
        <v>60949.05</v>
      </c>
      <c r="W16" s="84"/>
      <c r="X16" s="53">
        <f t="shared" si="5"/>
        <v>0</v>
      </c>
      <c r="Y16" s="53">
        <f t="shared" si="6"/>
        <v>0</v>
      </c>
      <c r="Z16" s="53">
        <f t="shared" si="7"/>
        <v>0</v>
      </c>
      <c r="AA16" s="53">
        <f t="shared" si="8"/>
        <v>0</v>
      </c>
      <c r="AB16" s="53">
        <f t="shared" si="9"/>
        <v>0</v>
      </c>
      <c r="AC16" s="53">
        <f t="shared" si="10"/>
        <v>0</v>
      </c>
      <c r="AD16" s="53">
        <f t="shared" si="11"/>
        <v>0</v>
      </c>
      <c r="AE16" s="53">
        <f t="shared" si="12"/>
        <v>0</v>
      </c>
      <c r="AF16" s="53">
        <f t="shared" si="13"/>
        <v>0</v>
      </c>
      <c r="AG16" s="53">
        <f t="shared" si="14"/>
        <v>0</v>
      </c>
      <c r="AH16" s="53">
        <f t="shared" si="15"/>
        <v>0</v>
      </c>
      <c r="AI16" s="53">
        <f t="shared" si="16"/>
        <v>0</v>
      </c>
    </row>
    <row r="17" spans="1:35">
      <c r="A17" t="s">
        <v>425</v>
      </c>
      <c r="Q17" s="53"/>
      <c r="R17" s="53"/>
      <c r="S17" s="53"/>
      <c r="T17" s="53"/>
      <c r="U17" s="53"/>
      <c r="W17" s="84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</row>
    <row r="18" spans="1:35">
      <c r="A18" t="s">
        <v>862</v>
      </c>
      <c r="D18">
        <v>11</v>
      </c>
      <c r="E18">
        <v>11</v>
      </c>
      <c r="F18">
        <v>11</v>
      </c>
      <c r="G18">
        <v>11</v>
      </c>
      <c r="H18">
        <v>11</v>
      </c>
      <c r="I18">
        <v>11</v>
      </c>
      <c r="J18">
        <v>11</v>
      </c>
      <c r="K18">
        <v>11</v>
      </c>
      <c r="L18">
        <v>11</v>
      </c>
      <c r="M18">
        <v>11</v>
      </c>
      <c r="N18">
        <v>11</v>
      </c>
      <c r="O18">
        <v>12</v>
      </c>
      <c r="P18">
        <f t="shared" ref="P18:P31" si="17">SUM(D18:O18)</f>
        <v>133</v>
      </c>
      <c r="Q18" s="53">
        <v>24.5</v>
      </c>
      <c r="R18" s="53">
        <v>26.5</v>
      </c>
      <c r="S18" s="53">
        <f t="shared" ref="S18:S31" si="18">SUM(D18:M18)*Q18</f>
        <v>2695</v>
      </c>
      <c r="T18" s="53">
        <f t="shared" ref="T18:T31" si="19">SUM(N18:O18)*R18</f>
        <v>609.5</v>
      </c>
      <c r="U18" s="53">
        <f t="shared" ref="U18:U31" si="20">+S18+T18</f>
        <v>3304.5</v>
      </c>
      <c r="W18" s="84"/>
      <c r="X18" s="53">
        <f t="shared" ref="X18:X31" si="21">D18*$Q18</f>
        <v>269.5</v>
      </c>
      <c r="Y18" s="53">
        <f t="shared" ref="Y18:Y31" si="22">E18*$Q18</f>
        <v>269.5</v>
      </c>
      <c r="Z18" s="53">
        <f t="shared" si="7"/>
        <v>269.5</v>
      </c>
      <c r="AA18" s="53">
        <f t="shared" si="8"/>
        <v>269.5</v>
      </c>
      <c r="AB18" s="53">
        <f t="shared" si="9"/>
        <v>269.5</v>
      </c>
      <c r="AC18" s="53">
        <f t="shared" si="10"/>
        <v>269.5</v>
      </c>
      <c r="AD18" s="53">
        <f t="shared" si="11"/>
        <v>269.5</v>
      </c>
      <c r="AE18" s="53">
        <f t="shared" si="12"/>
        <v>269.5</v>
      </c>
      <c r="AF18" s="53">
        <f t="shared" si="13"/>
        <v>269.5</v>
      </c>
      <c r="AG18" s="53">
        <f t="shared" si="14"/>
        <v>269.5</v>
      </c>
      <c r="AH18" s="53">
        <f t="shared" si="15"/>
        <v>291.5</v>
      </c>
      <c r="AI18" s="53">
        <f t="shared" si="16"/>
        <v>318</v>
      </c>
    </row>
    <row r="19" spans="1:35">
      <c r="A19" t="s">
        <v>861</v>
      </c>
      <c r="D19">
        <v>0</v>
      </c>
      <c r="E19">
        <v>0</v>
      </c>
      <c r="F19">
        <v>0</v>
      </c>
      <c r="G19">
        <v>0</v>
      </c>
      <c r="H19">
        <v>1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f t="shared" si="17"/>
        <v>1</v>
      </c>
      <c r="Q19" s="53">
        <v>38.700000000000003</v>
      </c>
      <c r="R19" s="53">
        <v>41</v>
      </c>
      <c r="S19" s="53">
        <f t="shared" si="18"/>
        <v>38.700000000000003</v>
      </c>
      <c r="T19" s="53">
        <f t="shared" si="19"/>
        <v>0</v>
      </c>
      <c r="U19" s="53">
        <f t="shared" si="20"/>
        <v>38.700000000000003</v>
      </c>
      <c r="W19" s="84"/>
      <c r="X19" s="53">
        <f t="shared" si="21"/>
        <v>0</v>
      </c>
      <c r="Y19" s="53">
        <f t="shared" si="22"/>
        <v>0</v>
      </c>
      <c r="Z19" s="53">
        <f t="shared" si="7"/>
        <v>0</v>
      </c>
      <c r="AA19" s="53">
        <f t="shared" si="8"/>
        <v>0</v>
      </c>
      <c r="AB19" s="53">
        <f t="shared" si="9"/>
        <v>38.700000000000003</v>
      </c>
      <c r="AC19" s="53">
        <f t="shared" si="10"/>
        <v>0</v>
      </c>
      <c r="AD19" s="53">
        <f t="shared" si="11"/>
        <v>0</v>
      </c>
      <c r="AE19" s="53">
        <f t="shared" si="12"/>
        <v>0</v>
      </c>
      <c r="AF19" s="53">
        <f t="shared" si="13"/>
        <v>0</v>
      </c>
      <c r="AG19" s="53">
        <f t="shared" si="14"/>
        <v>0</v>
      </c>
      <c r="AH19" s="53">
        <f t="shared" si="15"/>
        <v>0</v>
      </c>
      <c r="AI19" s="53">
        <f t="shared" si="16"/>
        <v>0</v>
      </c>
    </row>
    <row r="20" spans="1:35">
      <c r="A20" t="s">
        <v>424</v>
      </c>
      <c r="D20">
        <v>11</v>
      </c>
      <c r="E20">
        <v>11</v>
      </c>
      <c r="F20">
        <v>11</v>
      </c>
      <c r="G20">
        <v>10</v>
      </c>
      <c r="H20">
        <v>10</v>
      </c>
      <c r="I20">
        <v>10</v>
      </c>
      <c r="J20">
        <v>10</v>
      </c>
      <c r="K20">
        <v>10</v>
      </c>
      <c r="L20">
        <v>10</v>
      </c>
      <c r="M20">
        <v>10</v>
      </c>
      <c r="N20">
        <v>10</v>
      </c>
      <c r="O20">
        <v>10</v>
      </c>
      <c r="P20">
        <f t="shared" si="17"/>
        <v>123</v>
      </c>
      <c r="Q20" s="53">
        <v>57.45</v>
      </c>
      <c r="R20" s="53">
        <v>60.9</v>
      </c>
      <c r="S20" s="53">
        <f t="shared" si="18"/>
        <v>5917.35</v>
      </c>
      <c r="T20" s="53">
        <f t="shared" si="19"/>
        <v>1218</v>
      </c>
      <c r="U20" s="53">
        <f t="shared" si="20"/>
        <v>7135.35</v>
      </c>
      <c r="W20" s="84"/>
      <c r="X20" s="53">
        <f t="shared" si="21"/>
        <v>631.95000000000005</v>
      </c>
      <c r="Y20" s="53">
        <f t="shared" si="22"/>
        <v>631.95000000000005</v>
      </c>
      <c r="Z20" s="53">
        <f t="shared" si="7"/>
        <v>631.95000000000005</v>
      </c>
      <c r="AA20" s="53">
        <f t="shared" si="8"/>
        <v>574.5</v>
      </c>
      <c r="AB20" s="53">
        <f t="shared" si="9"/>
        <v>574.5</v>
      </c>
      <c r="AC20" s="53">
        <f t="shared" si="10"/>
        <v>574.5</v>
      </c>
      <c r="AD20" s="53">
        <f t="shared" si="11"/>
        <v>574.5</v>
      </c>
      <c r="AE20" s="53">
        <f t="shared" si="12"/>
        <v>574.5</v>
      </c>
      <c r="AF20" s="53">
        <f t="shared" si="13"/>
        <v>574.5</v>
      </c>
      <c r="AG20" s="53">
        <f t="shared" si="14"/>
        <v>574.5</v>
      </c>
      <c r="AH20" s="53">
        <f t="shared" si="15"/>
        <v>609</v>
      </c>
      <c r="AI20" s="53">
        <f t="shared" si="16"/>
        <v>609</v>
      </c>
    </row>
    <row r="21" spans="1:35">
      <c r="A21" t="s">
        <v>860</v>
      </c>
      <c r="D21">
        <v>12</v>
      </c>
      <c r="E21">
        <v>12</v>
      </c>
      <c r="F21">
        <v>12</v>
      </c>
      <c r="G21">
        <v>12</v>
      </c>
      <c r="H21">
        <v>11</v>
      </c>
      <c r="I21">
        <v>11</v>
      </c>
      <c r="J21">
        <v>11</v>
      </c>
      <c r="K21">
        <v>11</v>
      </c>
      <c r="L21">
        <v>11</v>
      </c>
      <c r="M21">
        <v>11</v>
      </c>
      <c r="N21">
        <v>12</v>
      </c>
      <c r="O21">
        <v>12</v>
      </c>
      <c r="P21">
        <f t="shared" si="17"/>
        <v>138</v>
      </c>
      <c r="Q21" s="53">
        <v>9</v>
      </c>
      <c r="R21" s="53">
        <v>9.5500000000000007</v>
      </c>
      <c r="S21" s="53">
        <f t="shared" si="18"/>
        <v>1026</v>
      </c>
      <c r="T21" s="53">
        <f t="shared" si="19"/>
        <v>229.20000000000002</v>
      </c>
      <c r="U21" s="53">
        <f t="shared" si="20"/>
        <v>1255.2</v>
      </c>
      <c r="W21" s="84"/>
      <c r="X21" s="53">
        <f t="shared" si="21"/>
        <v>108</v>
      </c>
      <c r="Y21" s="53">
        <f t="shared" si="22"/>
        <v>108</v>
      </c>
      <c r="Z21" s="53">
        <f t="shared" si="7"/>
        <v>108</v>
      </c>
      <c r="AA21" s="53">
        <f t="shared" si="8"/>
        <v>108</v>
      </c>
      <c r="AB21" s="53">
        <f t="shared" si="9"/>
        <v>99</v>
      </c>
      <c r="AC21" s="53">
        <f t="shared" si="10"/>
        <v>99</v>
      </c>
      <c r="AD21" s="53">
        <f t="shared" si="11"/>
        <v>99</v>
      </c>
      <c r="AE21" s="53">
        <f t="shared" si="12"/>
        <v>99</v>
      </c>
      <c r="AF21" s="53">
        <f t="shared" si="13"/>
        <v>99</v>
      </c>
      <c r="AG21" s="53">
        <f t="shared" si="14"/>
        <v>99</v>
      </c>
      <c r="AH21" s="53">
        <f t="shared" si="15"/>
        <v>114.60000000000001</v>
      </c>
      <c r="AI21" s="53">
        <f t="shared" si="16"/>
        <v>114.60000000000001</v>
      </c>
    </row>
    <row r="22" spans="1:35">
      <c r="A22" t="s">
        <v>422</v>
      </c>
      <c r="D22">
        <v>6</v>
      </c>
      <c r="E22">
        <v>6</v>
      </c>
      <c r="F22">
        <v>6</v>
      </c>
      <c r="G22">
        <v>5</v>
      </c>
      <c r="H22">
        <v>5</v>
      </c>
      <c r="I22">
        <v>5</v>
      </c>
      <c r="J22">
        <v>5</v>
      </c>
      <c r="K22">
        <v>5</v>
      </c>
      <c r="L22">
        <v>5</v>
      </c>
      <c r="M22">
        <v>7</v>
      </c>
      <c r="N22">
        <v>7</v>
      </c>
      <c r="O22">
        <v>6</v>
      </c>
      <c r="P22">
        <f t="shared" si="17"/>
        <v>68</v>
      </c>
      <c r="Q22" s="53">
        <v>98.9</v>
      </c>
      <c r="R22" s="53">
        <v>105.85</v>
      </c>
      <c r="S22" s="53">
        <f t="shared" si="18"/>
        <v>5439.5</v>
      </c>
      <c r="T22" s="53">
        <f t="shared" si="19"/>
        <v>1376.05</v>
      </c>
      <c r="U22" s="53">
        <f t="shared" si="20"/>
        <v>6815.55</v>
      </c>
      <c r="W22" s="84"/>
      <c r="X22" s="53">
        <f t="shared" si="21"/>
        <v>593.40000000000009</v>
      </c>
      <c r="Y22" s="53">
        <f t="shared" si="22"/>
        <v>593.40000000000009</v>
      </c>
      <c r="Z22" s="53">
        <f t="shared" si="7"/>
        <v>593.40000000000009</v>
      </c>
      <c r="AA22" s="53">
        <f t="shared" si="8"/>
        <v>494.5</v>
      </c>
      <c r="AB22" s="53">
        <f t="shared" si="9"/>
        <v>494.5</v>
      </c>
      <c r="AC22" s="53">
        <f t="shared" si="10"/>
        <v>494.5</v>
      </c>
      <c r="AD22" s="53">
        <f t="shared" si="11"/>
        <v>494.5</v>
      </c>
      <c r="AE22" s="53">
        <f t="shared" si="12"/>
        <v>494.5</v>
      </c>
      <c r="AF22" s="53">
        <f t="shared" si="13"/>
        <v>494.5</v>
      </c>
      <c r="AG22" s="53">
        <f t="shared" si="14"/>
        <v>692.30000000000007</v>
      </c>
      <c r="AH22" s="53">
        <f t="shared" si="15"/>
        <v>740.94999999999993</v>
      </c>
      <c r="AI22" s="53">
        <f t="shared" si="16"/>
        <v>635.09999999999991</v>
      </c>
    </row>
    <row r="23" spans="1:35">
      <c r="A23" t="s">
        <v>859</v>
      </c>
      <c r="D23">
        <v>15</v>
      </c>
      <c r="E23">
        <v>16</v>
      </c>
      <c r="F23">
        <v>16</v>
      </c>
      <c r="G23">
        <v>13</v>
      </c>
      <c r="H23">
        <v>13</v>
      </c>
      <c r="I23">
        <v>13</v>
      </c>
      <c r="J23">
        <v>13</v>
      </c>
      <c r="K23">
        <v>13</v>
      </c>
      <c r="L23">
        <v>13</v>
      </c>
      <c r="M23">
        <v>16</v>
      </c>
      <c r="N23">
        <v>16</v>
      </c>
      <c r="O23">
        <v>15</v>
      </c>
      <c r="P23">
        <f t="shared" si="17"/>
        <v>172</v>
      </c>
      <c r="Q23" s="53">
        <v>11.75</v>
      </c>
      <c r="R23" s="53">
        <v>12.45</v>
      </c>
      <c r="S23" s="53">
        <f t="shared" si="18"/>
        <v>1656.75</v>
      </c>
      <c r="T23" s="53">
        <f t="shared" si="19"/>
        <v>385.95</v>
      </c>
      <c r="U23" s="53">
        <f t="shared" si="20"/>
        <v>2042.7</v>
      </c>
      <c r="W23" s="84"/>
      <c r="X23" s="53">
        <f t="shared" si="21"/>
        <v>176.25</v>
      </c>
      <c r="Y23" s="53">
        <f t="shared" si="22"/>
        <v>188</v>
      </c>
      <c r="Z23" s="53">
        <f t="shared" si="7"/>
        <v>188</v>
      </c>
      <c r="AA23" s="53">
        <f t="shared" si="8"/>
        <v>152.75</v>
      </c>
      <c r="AB23" s="53">
        <f t="shared" si="9"/>
        <v>152.75</v>
      </c>
      <c r="AC23" s="53">
        <f t="shared" si="10"/>
        <v>152.75</v>
      </c>
      <c r="AD23" s="53">
        <f t="shared" si="11"/>
        <v>152.75</v>
      </c>
      <c r="AE23" s="53">
        <f t="shared" si="12"/>
        <v>152.75</v>
      </c>
      <c r="AF23" s="53">
        <f t="shared" si="13"/>
        <v>152.75</v>
      </c>
      <c r="AG23" s="53">
        <f t="shared" si="14"/>
        <v>188</v>
      </c>
      <c r="AH23" s="53">
        <f t="shared" si="15"/>
        <v>199.2</v>
      </c>
      <c r="AI23" s="53">
        <f t="shared" si="16"/>
        <v>186.75</v>
      </c>
    </row>
    <row r="24" spans="1:35">
      <c r="A24" t="s">
        <v>420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f t="shared" si="17"/>
        <v>0</v>
      </c>
      <c r="Q24" s="53">
        <v>180.15</v>
      </c>
      <c r="R24" s="53">
        <v>190.95</v>
      </c>
      <c r="S24" s="53">
        <f t="shared" si="18"/>
        <v>0</v>
      </c>
      <c r="T24" s="53">
        <f t="shared" si="19"/>
        <v>0</v>
      </c>
      <c r="U24" s="53">
        <f t="shared" si="20"/>
        <v>0</v>
      </c>
      <c r="W24" s="84"/>
      <c r="X24" s="53">
        <f t="shared" si="21"/>
        <v>0</v>
      </c>
      <c r="Y24" s="53">
        <f t="shared" si="22"/>
        <v>0</v>
      </c>
      <c r="Z24" s="53">
        <f t="shared" si="7"/>
        <v>0</v>
      </c>
      <c r="AA24" s="53">
        <f t="shared" si="8"/>
        <v>0</v>
      </c>
      <c r="AB24" s="53">
        <f t="shared" si="9"/>
        <v>0</v>
      </c>
      <c r="AC24" s="53">
        <f t="shared" si="10"/>
        <v>0</v>
      </c>
      <c r="AD24" s="53">
        <f t="shared" si="11"/>
        <v>0</v>
      </c>
      <c r="AE24" s="53">
        <f t="shared" si="12"/>
        <v>0</v>
      </c>
      <c r="AF24" s="53">
        <f t="shared" si="13"/>
        <v>0</v>
      </c>
      <c r="AG24" s="53">
        <f t="shared" si="14"/>
        <v>0</v>
      </c>
      <c r="AH24" s="53">
        <f t="shared" si="15"/>
        <v>0</v>
      </c>
      <c r="AI24" s="53">
        <f t="shared" si="16"/>
        <v>0</v>
      </c>
    </row>
    <row r="25" spans="1:35">
      <c r="A25" t="s">
        <v>858</v>
      </c>
      <c r="D25">
        <v>2</v>
      </c>
      <c r="E25">
        <v>2</v>
      </c>
      <c r="F25">
        <v>2</v>
      </c>
      <c r="G25">
        <v>2</v>
      </c>
      <c r="H25">
        <v>2</v>
      </c>
      <c r="I25">
        <v>2</v>
      </c>
      <c r="J25">
        <v>2</v>
      </c>
      <c r="K25">
        <v>2</v>
      </c>
      <c r="L25">
        <v>2</v>
      </c>
      <c r="M25">
        <v>2</v>
      </c>
      <c r="N25">
        <v>2</v>
      </c>
      <c r="O25">
        <v>2</v>
      </c>
      <c r="P25">
        <f t="shared" si="17"/>
        <v>24</v>
      </c>
      <c r="Q25" s="53">
        <v>21.5</v>
      </c>
      <c r="R25" s="53">
        <v>22.8</v>
      </c>
      <c r="S25" s="53">
        <f t="shared" si="18"/>
        <v>430</v>
      </c>
      <c r="T25" s="53">
        <f t="shared" si="19"/>
        <v>91.2</v>
      </c>
      <c r="U25" s="53">
        <f t="shared" si="20"/>
        <v>521.20000000000005</v>
      </c>
      <c r="W25" s="84"/>
      <c r="X25" s="53">
        <f t="shared" si="21"/>
        <v>43</v>
      </c>
      <c r="Y25" s="53">
        <f t="shared" si="22"/>
        <v>43</v>
      </c>
      <c r="Z25" s="53">
        <f t="shared" si="7"/>
        <v>43</v>
      </c>
      <c r="AA25" s="53">
        <f t="shared" si="8"/>
        <v>43</v>
      </c>
      <c r="AB25" s="53">
        <f t="shared" si="9"/>
        <v>43</v>
      </c>
      <c r="AC25" s="53">
        <f t="shared" si="10"/>
        <v>43</v>
      </c>
      <c r="AD25" s="53">
        <f t="shared" si="11"/>
        <v>43</v>
      </c>
      <c r="AE25" s="53">
        <f t="shared" si="12"/>
        <v>43</v>
      </c>
      <c r="AF25" s="53">
        <f t="shared" si="13"/>
        <v>43</v>
      </c>
      <c r="AG25" s="53">
        <f t="shared" si="14"/>
        <v>43</v>
      </c>
      <c r="AH25" s="53">
        <f t="shared" si="15"/>
        <v>45.6</v>
      </c>
      <c r="AI25" s="53">
        <f t="shared" si="16"/>
        <v>45.6</v>
      </c>
    </row>
    <row r="26" spans="1:35">
      <c r="A26" t="s">
        <v>419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f t="shared" si="17"/>
        <v>0</v>
      </c>
      <c r="Q26" s="53">
        <v>279.3</v>
      </c>
      <c r="R26" s="53">
        <v>296.05</v>
      </c>
      <c r="S26" s="53">
        <f t="shared" si="18"/>
        <v>0</v>
      </c>
      <c r="T26" s="53">
        <f t="shared" si="19"/>
        <v>0</v>
      </c>
      <c r="U26" s="53">
        <f t="shared" si="20"/>
        <v>0</v>
      </c>
      <c r="W26" s="84"/>
      <c r="X26" s="53">
        <f t="shared" si="21"/>
        <v>0</v>
      </c>
      <c r="Y26" s="53">
        <f t="shared" si="22"/>
        <v>0</v>
      </c>
      <c r="Z26" s="53">
        <f t="shared" si="7"/>
        <v>0</v>
      </c>
      <c r="AA26" s="53">
        <f t="shared" si="8"/>
        <v>0</v>
      </c>
      <c r="AB26" s="53">
        <f t="shared" si="9"/>
        <v>0</v>
      </c>
      <c r="AC26" s="53">
        <f t="shared" si="10"/>
        <v>0</v>
      </c>
      <c r="AD26" s="53">
        <f t="shared" si="11"/>
        <v>0</v>
      </c>
      <c r="AE26" s="53">
        <f t="shared" si="12"/>
        <v>0</v>
      </c>
      <c r="AF26" s="53">
        <f t="shared" si="13"/>
        <v>0</v>
      </c>
      <c r="AG26" s="53">
        <f t="shared" si="14"/>
        <v>0</v>
      </c>
      <c r="AH26" s="53">
        <f t="shared" si="15"/>
        <v>0</v>
      </c>
      <c r="AI26" s="53">
        <f t="shared" si="16"/>
        <v>0</v>
      </c>
    </row>
    <row r="27" spans="1:35">
      <c r="A27" t="s">
        <v>857</v>
      </c>
      <c r="D27">
        <v>1</v>
      </c>
      <c r="E27">
        <v>1</v>
      </c>
      <c r="F27">
        <v>1</v>
      </c>
      <c r="G27">
        <v>1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f t="shared" si="17"/>
        <v>4</v>
      </c>
      <c r="Q27" s="53">
        <v>32</v>
      </c>
      <c r="R27" s="53">
        <v>33.9</v>
      </c>
      <c r="S27" s="53">
        <f t="shared" si="18"/>
        <v>128</v>
      </c>
      <c r="T27" s="53">
        <f t="shared" si="19"/>
        <v>0</v>
      </c>
      <c r="U27" s="53">
        <f t="shared" si="20"/>
        <v>128</v>
      </c>
      <c r="W27" s="84"/>
      <c r="X27" s="53">
        <f t="shared" si="21"/>
        <v>32</v>
      </c>
      <c r="Y27" s="53">
        <f t="shared" si="22"/>
        <v>32</v>
      </c>
      <c r="Z27" s="53">
        <f t="shared" si="7"/>
        <v>32</v>
      </c>
      <c r="AA27" s="53">
        <f t="shared" si="8"/>
        <v>32</v>
      </c>
      <c r="AB27" s="53">
        <f t="shared" si="9"/>
        <v>0</v>
      </c>
      <c r="AC27" s="53">
        <f t="shared" si="10"/>
        <v>0</v>
      </c>
      <c r="AD27" s="53">
        <f t="shared" si="11"/>
        <v>0</v>
      </c>
      <c r="AE27" s="53">
        <f t="shared" si="12"/>
        <v>0</v>
      </c>
      <c r="AF27" s="53">
        <f t="shared" si="13"/>
        <v>0</v>
      </c>
      <c r="AG27" s="53">
        <f t="shared" si="14"/>
        <v>0</v>
      </c>
      <c r="AH27" s="53">
        <f t="shared" si="15"/>
        <v>0</v>
      </c>
      <c r="AI27" s="53">
        <f t="shared" si="16"/>
        <v>0</v>
      </c>
    </row>
    <row r="28" spans="1:35">
      <c r="A28" t="s">
        <v>856</v>
      </c>
      <c r="D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  <c r="K28">
        <v>1</v>
      </c>
      <c r="L28">
        <v>1</v>
      </c>
      <c r="M28">
        <v>1</v>
      </c>
      <c r="N28">
        <v>2</v>
      </c>
      <c r="O28">
        <v>2</v>
      </c>
      <c r="P28">
        <f t="shared" si="17"/>
        <v>14</v>
      </c>
      <c r="Q28" s="53">
        <v>114.9</v>
      </c>
      <c r="R28" s="53">
        <v>121.8</v>
      </c>
      <c r="S28" s="53">
        <f t="shared" si="18"/>
        <v>1149</v>
      </c>
      <c r="T28" s="53">
        <f t="shared" si="19"/>
        <v>487.2</v>
      </c>
      <c r="U28" s="53">
        <f t="shared" si="20"/>
        <v>1636.2</v>
      </c>
      <c r="W28" s="84"/>
      <c r="X28" s="53">
        <f t="shared" si="21"/>
        <v>114.9</v>
      </c>
      <c r="Y28" s="53">
        <f t="shared" si="22"/>
        <v>114.9</v>
      </c>
      <c r="Z28" s="53">
        <f t="shared" si="7"/>
        <v>114.9</v>
      </c>
      <c r="AA28" s="53">
        <f t="shared" si="8"/>
        <v>114.9</v>
      </c>
      <c r="AB28" s="53">
        <f t="shared" si="9"/>
        <v>114.9</v>
      </c>
      <c r="AC28" s="53">
        <f t="shared" si="10"/>
        <v>114.9</v>
      </c>
      <c r="AD28" s="53">
        <f t="shared" si="11"/>
        <v>114.9</v>
      </c>
      <c r="AE28" s="53">
        <f t="shared" si="12"/>
        <v>114.9</v>
      </c>
      <c r="AF28" s="53">
        <f t="shared" si="13"/>
        <v>114.9</v>
      </c>
      <c r="AG28" s="53">
        <f t="shared" si="14"/>
        <v>114.9</v>
      </c>
      <c r="AH28" s="53">
        <f t="shared" si="15"/>
        <v>243.6</v>
      </c>
      <c r="AI28" s="53">
        <f t="shared" si="16"/>
        <v>243.6</v>
      </c>
    </row>
    <row r="29" spans="1:35">
      <c r="A29" t="s">
        <v>855</v>
      </c>
      <c r="D29">
        <v>10</v>
      </c>
      <c r="E29">
        <v>10</v>
      </c>
      <c r="F29">
        <v>10</v>
      </c>
      <c r="G29">
        <v>8</v>
      </c>
      <c r="H29">
        <v>8</v>
      </c>
      <c r="I29">
        <v>8</v>
      </c>
      <c r="J29">
        <v>8</v>
      </c>
      <c r="K29">
        <v>8</v>
      </c>
      <c r="L29">
        <v>8</v>
      </c>
      <c r="M29">
        <v>9</v>
      </c>
      <c r="N29">
        <v>10</v>
      </c>
      <c r="O29">
        <v>9</v>
      </c>
      <c r="P29">
        <f t="shared" si="17"/>
        <v>106</v>
      </c>
      <c r="Q29" s="53">
        <v>197.8</v>
      </c>
      <c r="R29" s="53">
        <v>211.7</v>
      </c>
      <c r="S29" s="53">
        <f t="shared" si="18"/>
        <v>17208.600000000002</v>
      </c>
      <c r="T29" s="53">
        <f t="shared" si="19"/>
        <v>4022.2999999999997</v>
      </c>
      <c r="U29" s="53">
        <f t="shared" si="20"/>
        <v>21230.9</v>
      </c>
      <c r="W29" s="84"/>
      <c r="X29" s="53">
        <f t="shared" si="21"/>
        <v>1978</v>
      </c>
      <c r="Y29" s="53">
        <f t="shared" si="22"/>
        <v>1978</v>
      </c>
      <c r="Z29" s="53">
        <f t="shared" si="7"/>
        <v>1978</v>
      </c>
      <c r="AA29" s="53">
        <f t="shared" si="8"/>
        <v>1582.4</v>
      </c>
      <c r="AB29" s="53">
        <f t="shared" si="9"/>
        <v>1582.4</v>
      </c>
      <c r="AC29" s="53">
        <f t="shared" si="10"/>
        <v>1582.4</v>
      </c>
      <c r="AD29" s="53">
        <f t="shared" si="11"/>
        <v>1582.4</v>
      </c>
      <c r="AE29" s="53">
        <f t="shared" si="12"/>
        <v>1582.4</v>
      </c>
      <c r="AF29" s="53">
        <f t="shared" si="13"/>
        <v>1582.4</v>
      </c>
      <c r="AG29" s="53">
        <f t="shared" si="14"/>
        <v>1780.2</v>
      </c>
      <c r="AH29" s="53">
        <f t="shared" si="15"/>
        <v>2117</v>
      </c>
      <c r="AI29" s="53">
        <f t="shared" si="16"/>
        <v>1905.3</v>
      </c>
    </row>
    <row r="30" spans="1:35">
      <c r="A30" t="s">
        <v>854</v>
      </c>
      <c r="D30">
        <v>2</v>
      </c>
      <c r="E30">
        <v>2</v>
      </c>
      <c r="F30">
        <v>2</v>
      </c>
      <c r="G30">
        <v>2</v>
      </c>
      <c r="H30">
        <v>2</v>
      </c>
      <c r="I30">
        <v>2</v>
      </c>
      <c r="J30">
        <v>2</v>
      </c>
      <c r="K30">
        <v>2</v>
      </c>
      <c r="L30">
        <v>2</v>
      </c>
      <c r="M30">
        <v>2</v>
      </c>
      <c r="N30">
        <v>2</v>
      </c>
      <c r="O30">
        <v>2</v>
      </c>
      <c r="P30">
        <f t="shared" si="17"/>
        <v>24</v>
      </c>
      <c r="Q30" s="53">
        <v>360.3</v>
      </c>
      <c r="R30" s="53">
        <v>381.9</v>
      </c>
      <c r="S30" s="53">
        <f t="shared" si="18"/>
        <v>7206</v>
      </c>
      <c r="T30" s="53">
        <f t="shared" si="19"/>
        <v>1527.6</v>
      </c>
      <c r="U30" s="53">
        <f t="shared" si="20"/>
        <v>8733.6</v>
      </c>
      <c r="W30" s="84"/>
      <c r="X30" s="53">
        <f t="shared" si="21"/>
        <v>720.6</v>
      </c>
      <c r="Y30" s="53">
        <f t="shared" si="22"/>
        <v>720.6</v>
      </c>
      <c r="Z30" s="53">
        <f t="shared" si="7"/>
        <v>720.6</v>
      </c>
      <c r="AA30" s="53">
        <f t="shared" si="8"/>
        <v>720.6</v>
      </c>
      <c r="AB30" s="53">
        <f t="shared" si="9"/>
        <v>720.6</v>
      </c>
      <c r="AC30" s="53">
        <f t="shared" si="10"/>
        <v>720.6</v>
      </c>
      <c r="AD30" s="53">
        <f t="shared" si="11"/>
        <v>720.6</v>
      </c>
      <c r="AE30" s="53">
        <f t="shared" si="12"/>
        <v>720.6</v>
      </c>
      <c r="AF30" s="53">
        <f t="shared" si="13"/>
        <v>720.6</v>
      </c>
      <c r="AG30" s="53">
        <f t="shared" si="14"/>
        <v>720.6</v>
      </c>
      <c r="AH30" s="53">
        <f t="shared" si="15"/>
        <v>763.8</v>
      </c>
      <c r="AI30" s="53">
        <f t="shared" si="16"/>
        <v>763.8</v>
      </c>
    </row>
    <row r="31" spans="1:35">
      <c r="A31" t="s">
        <v>853</v>
      </c>
      <c r="D31">
        <v>1</v>
      </c>
      <c r="E31">
        <v>1</v>
      </c>
      <c r="F31">
        <v>1</v>
      </c>
      <c r="G31">
        <v>1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f t="shared" si="17"/>
        <v>4</v>
      </c>
      <c r="Q31" s="53">
        <v>558.6</v>
      </c>
      <c r="R31" s="53">
        <v>592.1</v>
      </c>
      <c r="S31" s="53">
        <f t="shared" si="18"/>
        <v>2234.4</v>
      </c>
      <c r="T31" s="53">
        <f t="shared" si="19"/>
        <v>0</v>
      </c>
      <c r="U31" s="53">
        <f t="shared" si="20"/>
        <v>2234.4</v>
      </c>
      <c r="W31" s="84"/>
      <c r="X31" s="53">
        <f t="shared" si="21"/>
        <v>558.6</v>
      </c>
      <c r="Y31" s="53">
        <f t="shared" si="22"/>
        <v>558.6</v>
      </c>
      <c r="Z31" s="53">
        <f t="shared" si="7"/>
        <v>558.6</v>
      </c>
      <c r="AA31" s="53">
        <f t="shared" si="8"/>
        <v>558.6</v>
      </c>
      <c r="AB31" s="53">
        <f t="shared" si="9"/>
        <v>0</v>
      </c>
      <c r="AC31" s="53">
        <f t="shared" si="10"/>
        <v>0</v>
      </c>
      <c r="AD31" s="53">
        <f t="shared" si="11"/>
        <v>0</v>
      </c>
      <c r="AE31" s="53">
        <f t="shared" si="12"/>
        <v>0</v>
      </c>
      <c r="AF31" s="53">
        <f t="shared" si="13"/>
        <v>0</v>
      </c>
      <c r="AG31" s="53">
        <f t="shared" si="14"/>
        <v>0</v>
      </c>
      <c r="AH31" s="53">
        <f t="shared" si="15"/>
        <v>0</v>
      </c>
      <c r="AI31" s="53">
        <f t="shared" si="16"/>
        <v>0</v>
      </c>
    </row>
    <row r="32" spans="1:35">
      <c r="Q32" s="53"/>
      <c r="R32" s="53"/>
      <c r="S32" s="53"/>
      <c r="T32" s="53"/>
      <c r="U32" s="53"/>
      <c r="W32" s="84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</row>
    <row r="33" spans="1:35">
      <c r="A33" t="s">
        <v>852</v>
      </c>
      <c r="D33">
        <v>7</v>
      </c>
      <c r="E33">
        <v>7</v>
      </c>
      <c r="F33">
        <v>2</v>
      </c>
      <c r="G33">
        <v>4</v>
      </c>
      <c r="H33">
        <v>0</v>
      </c>
      <c r="I33">
        <v>0</v>
      </c>
      <c r="J33">
        <v>0</v>
      </c>
      <c r="K33">
        <v>0</v>
      </c>
      <c r="L33">
        <v>5</v>
      </c>
      <c r="M33">
        <v>9</v>
      </c>
      <c r="N33">
        <v>3</v>
      </c>
      <c r="O33">
        <v>3</v>
      </c>
      <c r="P33">
        <f>SUM(D33:O33)</f>
        <v>40</v>
      </c>
      <c r="Q33" s="53">
        <v>20.45</v>
      </c>
      <c r="R33" s="53">
        <v>21.65</v>
      </c>
      <c r="S33" s="53">
        <f>SUM(D33:M33)*Q33</f>
        <v>695.3</v>
      </c>
      <c r="T33" s="53">
        <f>SUM(N33:O33)*R33</f>
        <v>129.89999999999998</v>
      </c>
      <c r="U33" s="57">
        <f>+S33+T33</f>
        <v>825.19999999999993</v>
      </c>
      <c r="V33" s="53">
        <f>SUM(U18:U33)</f>
        <v>55901.5</v>
      </c>
      <c r="W33" s="84"/>
      <c r="X33" s="57">
        <f>D33*$Q33</f>
        <v>143.15</v>
      </c>
      <c r="Y33" s="57">
        <f>E33*$Q33</f>
        <v>143.15</v>
      </c>
      <c r="Z33" s="57">
        <f t="shared" si="7"/>
        <v>40.9</v>
      </c>
      <c r="AA33" s="57">
        <f t="shared" si="8"/>
        <v>81.8</v>
      </c>
      <c r="AB33" s="57">
        <f t="shared" si="9"/>
        <v>0</v>
      </c>
      <c r="AC33" s="57">
        <f t="shared" si="10"/>
        <v>0</v>
      </c>
      <c r="AD33" s="57">
        <f t="shared" si="11"/>
        <v>0</v>
      </c>
      <c r="AE33" s="57">
        <f t="shared" si="12"/>
        <v>0</v>
      </c>
      <c r="AF33" s="57">
        <f t="shared" si="13"/>
        <v>102.25</v>
      </c>
      <c r="AG33" s="57">
        <f t="shared" si="14"/>
        <v>184.04999999999998</v>
      </c>
      <c r="AH33" s="57">
        <f t="shared" si="15"/>
        <v>64.949999999999989</v>
      </c>
      <c r="AI33" s="57">
        <f t="shared" si="16"/>
        <v>64.949999999999989</v>
      </c>
    </row>
    <row r="34" spans="1:35">
      <c r="P34">
        <f>SUM(P12:P33)</f>
        <v>3550</v>
      </c>
      <c r="Q34" s="53"/>
      <c r="R34" s="53"/>
      <c r="S34" s="53"/>
      <c r="T34" s="53"/>
      <c r="U34" s="53"/>
      <c r="W34" s="84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</row>
    <row r="35" spans="1:35">
      <c r="A35" t="s">
        <v>4</v>
      </c>
      <c r="N35" s="643" t="s">
        <v>1423</v>
      </c>
      <c r="P35">
        <f>SUM(P12:P20)+P22+P24+P26</f>
        <v>3024</v>
      </c>
      <c r="Q35" s="53"/>
      <c r="R35" s="53"/>
      <c r="S35" s="53"/>
      <c r="T35" s="53"/>
      <c r="U35" s="53">
        <f>SUM(U12:U33)</f>
        <v>116850.55</v>
      </c>
      <c r="W35" s="84"/>
      <c r="X35" s="53">
        <f t="shared" ref="X35:AI35" si="23">SUM(X12:X33)</f>
        <v>10510.15</v>
      </c>
      <c r="Y35" s="53">
        <f t="shared" si="23"/>
        <v>10468.75</v>
      </c>
      <c r="Z35" s="53">
        <f t="shared" si="23"/>
        <v>10366.5</v>
      </c>
      <c r="AA35" s="53">
        <f t="shared" si="23"/>
        <v>9770.4</v>
      </c>
      <c r="AB35" s="53">
        <f t="shared" si="23"/>
        <v>9148.4</v>
      </c>
      <c r="AC35" s="53">
        <f t="shared" si="23"/>
        <v>9109.6999999999989</v>
      </c>
      <c r="AD35" s="53">
        <f t="shared" si="23"/>
        <v>9109.6999999999989</v>
      </c>
      <c r="AE35" s="53">
        <f t="shared" si="23"/>
        <v>9109.6999999999989</v>
      </c>
      <c r="AF35" s="53">
        <f t="shared" si="23"/>
        <v>9211.9499999999989</v>
      </c>
      <c r="AG35" s="53">
        <f t="shared" si="23"/>
        <v>9724.5999999999985</v>
      </c>
      <c r="AH35" s="53">
        <f t="shared" si="23"/>
        <v>10270.150000000001</v>
      </c>
      <c r="AI35" s="53">
        <f t="shared" si="23"/>
        <v>10050.550000000001</v>
      </c>
    </row>
    <row r="36" spans="1:35">
      <c r="U36" s="53"/>
      <c r="W36" s="84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</row>
    <row r="37" spans="1:35">
      <c r="A37" t="s">
        <v>851</v>
      </c>
      <c r="U37" s="57">
        <f>SUM(X37:AI37)</f>
        <v>119568.62999999999</v>
      </c>
      <c r="W37" s="84"/>
      <c r="X37" s="57">
        <f>'Monthy Income Statements'!C12</f>
        <v>10636.68</v>
      </c>
      <c r="Y37" s="57">
        <f>'Monthy Income Statements'!D12</f>
        <v>10643.96</v>
      </c>
      <c r="Z37" s="57">
        <f>'Monthy Income Statements'!E12</f>
        <v>10489.24</v>
      </c>
      <c r="AA37" s="57">
        <f>'Monthy Income Statements'!F12</f>
        <v>10499.45</v>
      </c>
      <c r="AB37" s="57">
        <f>'Monthy Income Statements'!G12</f>
        <v>9522.75</v>
      </c>
      <c r="AC37" s="57">
        <f>'Monthy Income Statements'!H12</f>
        <v>9490.7000000000007</v>
      </c>
      <c r="AD37" s="57">
        <f>'Monthy Income Statements'!I12</f>
        <v>9486.7000000000007</v>
      </c>
      <c r="AE37" s="57">
        <f>'Monthy Income Statements'!J12</f>
        <v>8898.7900000000009</v>
      </c>
      <c r="AF37" s="57">
        <f>'Monthy Income Statements'!K12</f>
        <v>8989.1299999999992</v>
      </c>
      <c r="AG37" s="57">
        <f>'Monthy Income Statements'!L12</f>
        <v>10382.66</v>
      </c>
      <c r="AH37" s="57">
        <f>'Monthy Income Statements'!M12</f>
        <v>10269.67</v>
      </c>
      <c r="AI37" s="57">
        <f>'Monthy Income Statements'!N12</f>
        <v>10258.9</v>
      </c>
    </row>
    <row r="38" spans="1:35">
      <c r="W38" s="84"/>
    </row>
    <row r="39" spans="1:35">
      <c r="A39" t="s">
        <v>259</v>
      </c>
      <c r="U39" s="53">
        <f>+U35-U37</f>
        <v>-2718.0799999999872</v>
      </c>
      <c r="V39" s="139">
        <f>+U39/U37</f>
        <v>-2.2732383903704405E-2</v>
      </c>
      <c r="W39" s="84"/>
      <c r="X39" s="53">
        <f t="shared" ref="X39:AI39" si="24">+X35-X37</f>
        <v>-126.53000000000065</v>
      </c>
      <c r="Y39" s="53">
        <f t="shared" si="24"/>
        <v>-175.20999999999913</v>
      </c>
      <c r="Z39" s="53">
        <f t="shared" si="24"/>
        <v>-122.73999999999978</v>
      </c>
      <c r="AA39" s="53">
        <f t="shared" si="24"/>
        <v>-729.05000000000109</v>
      </c>
      <c r="AB39" s="53">
        <f t="shared" si="24"/>
        <v>-374.35000000000036</v>
      </c>
      <c r="AC39" s="53">
        <f t="shared" si="24"/>
        <v>-381.00000000000182</v>
      </c>
      <c r="AD39" s="53">
        <f t="shared" si="24"/>
        <v>-377.00000000000182</v>
      </c>
      <c r="AE39" s="53">
        <f t="shared" si="24"/>
        <v>210.90999999999804</v>
      </c>
      <c r="AF39" s="53">
        <f t="shared" si="24"/>
        <v>222.81999999999971</v>
      </c>
      <c r="AG39" s="53">
        <f t="shared" si="24"/>
        <v>-658.06000000000131</v>
      </c>
      <c r="AH39" s="53">
        <f t="shared" si="24"/>
        <v>0.48000000000138243</v>
      </c>
      <c r="AI39" s="53">
        <f t="shared" si="24"/>
        <v>-208.34999999999854</v>
      </c>
    </row>
    <row r="40" spans="1:35"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</row>
    <row r="41" spans="1:35">
      <c r="S41" s="643" t="s">
        <v>729</v>
      </c>
      <c r="U41" s="53">
        <f>SUM(U12:U16)</f>
        <v>60949.05</v>
      </c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</row>
    <row r="42" spans="1:35">
      <c r="S42" s="643" t="s">
        <v>337</v>
      </c>
      <c r="U42" s="53">
        <f>SUM(U18:U33)</f>
        <v>55901.5</v>
      </c>
    </row>
  </sheetData>
  <pageMargins left="0.2" right="0.45" top="0.54" bottom="0.45" header="0.5" footer="0.5"/>
  <pageSetup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9"/>
  <sheetViews>
    <sheetView workbookViewId="0">
      <selection activeCell="G3" sqref="G3"/>
    </sheetView>
  </sheetViews>
  <sheetFormatPr defaultRowHeight="12.75"/>
  <cols>
    <col min="1" max="1" width="12.7109375" customWidth="1"/>
    <col min="3" max="3" width="0.7109375" customWidth="1"/>
    <col min="17" max="17" width="10.140625" customWidth="1"/>
    <col min="18" max="20" width="11.5703125" customWidth="1"/>
    <col min="21" max="21" width="10.7109375" bestFit="1" customWidth="1"/>
    <col min="22" max="22" width="10.140625" bestFit="1" customWidth="1"/>
    <col min="24" max="24" width="9.5703125" bestFit="1" customWidth="1"/>
    <col min="35" max="35" width="10.42578125" customWidth="1"/>
  </cols>
  <sheetData>
    <row r="1" spans="1:34">
      <c r="A1" t="s">
        <v>0</v>
      </c>
    </row>
    <row r="3" spans="1:34">
      <c r="A3" t="s">
        <v>874</v>
      </c>
      <c r="E3" s="663"/>
      <c r="F3" s="643" t="s">
        <v>1342</v>
      </c>
      <c r="G3" s="643" t="s">
        <v>689</v>
      </c>
    </row>
    <row r="5" spans="1:34">
      <c r="A5" s="643" t="s">
        <v>1454</v>
      </c>
    </row>
    <row r="6" spans="1:34">
      <c r="M6" s="734"/>
      <c r="N6" s="734"/>
      <c r="O6" s="734"/>
    </row>
    <row r="7" spans="1:34">
      <c r="Q7" s="2" t="s">
        <v>99</v>
      </c>
      <c r="R7" s="2" t="s">
        <v>99</v>
      </c>
      <c r="S7" s="645" t="s">
        <v>151</v>
      </c>
      <c r="T7" s="645" t="s">
        <v>151</v>
      </c>
    </row>
    <row r="8" spans="1:34">
      <c r="Q8" s="773">
        <v>44470</v>
      </c>
      <c r="R8" s="773">
        <v>44562</v>
      </c>
      <c r="S8" s="773">
        <v>44470</v>
      </c>
      <c r="T8" s="773">
        <v>44562</v>
      </c>
      <c r="U8" s="2" t="s">
        <v>113</v>
      </c>
    </row>
    <row r="9" spans="1:34">
      <c r="A9" t="s">
        <v>866</v>
      </c>
      <c r="D9" s="734" t="s">
        <v>504</v>
      </c>
      <c r="E9" s="734" t="s">
        <v>503</v>
      </c>
      <c r="F9" s="734" t="s">
        <v>502</v>
      </c>
      <c r="G9" s="734" t="s">
        <v>513</v>
      </c>
      <c r="H9" s="734" t="s">
        <v>512</v>
      </c>
      <c r="I9" s="734" t="s">
        <v>511</v>
      </c>
      <c r="J9" s="734" t="s">
        <v>510</v>
      </c>
      <c r="K9" s="734" t="s">
        <v>509</v>
      </c>
      <c r="L9" s="734" t="s">
        <v>508</v>
      </c>
      <c r="M9" s="734" t="s">
        <v>507</v>
      </c>
      <c r="N9" s="734" t="s">
        <v>506</v>
      </c>
      <c r="O9" s="734" t="s">
        <v>505</v>
      </c>
      <c r="P9" s="2" t="s">
        <v>118</v>
      </c>
      <c r="Q9" s="324">
        <v>44561</v>
      </c>
      <c r="R9" s="324">
        <v>44834</v>
      </c>
      <c r="S9" s="324">
        <v>44561</v>
      </c>
      <c r="T9" s="324">
        <v>44834</v>
      </c>
      <c r="U9" s="2" t="s">
        <v>151</v>
      </c>
      <c r="W9" s="2"/>
      <c r="AG9" s="2"/>
      <c r="AH9" s="2"/>
    </row>
    <row r="11" spans="1:34">
      <c r="A11" t="s">
        <v>447</v>
      </c>
    </row>
    <row r="12" spans="1:34">
      <c r="A12" t="s">
        <v>865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f>SUM(D12:O12)</f>
        <v>0</v>
      </c>
      <c r="Q12" s="53">
        <v>0</v>
      </c>
      <c r="R12" s="53">
        <v>0</v>
      </c>
      <c r="S12" s="53">
        <f>SUM(D12:F12)*Q12</f>
        <v>0</v>
      </c>
      <c r="T12" s="53">
        <f>SUM(G12:O12)*R12</f>
        <v>0</v>
      </c>
      <c r="U12" s="53">
        <f>+S12+T12</f>
        <v>0</v>
      </c>
      <c r="W12" s="84"/>
      <c r="X12" t="s">
        <v>151</v>
      </c>
      <c r="AG12" s="84"/>
      <c r="AH12" s="84"/>
    </row>
    <row r="13" spans="1:34">
      <c r="A13" t="s">
        <v>873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f>SUM(D13:O13)</f>
        <v>0</v>
      </c>
      <c r="Q13" s="53">
        <v>15.2</v>
      </c>
      <c r="R13" s="53">
        <v>15.75</v>
      </c>
      <c r="S13" s="53">
        <f t="shared" ref="S13:S16" si="0">SUM(D13:F13)*Q13</f>
        <v>0</v>
      </c>
      <c r="T13" s="53">
        <f t="shared" ref="T13:T16" si="1">SUM(G13:O13)*R13</f>
        <v>0</v>
      </c>
      <c r="U13" s="53">
        <f t="shared" ref="U13:U16" si="2">+S13+T13</f>
        <v>0</v>
      </c>
      <c r="W13" s="84"/>
      <c r="AG13" s="84"/>
      <c r="AH13" s="84"/>
    </row>
    <row r="14" spans="1:34">
      <c r="A14" t="s">
        <v>872</v>
      </c>
      <c r="D14">
        <v>591</v>
      </c>
      <c r="E14">
        <v>592</v>
      </c>
      <c r="F14">
        <v>592</v>
      </c>
      <c r="G14">
        <v>591</v>
      </c>
      <c r="H14">
        <v>591</v>
      </c>
      <c r="I14">
        <v>591</v>
      </c>
      <c r="J14">
        <v>588</v>
      </c>
      <c r="K14">
        <v>587</v>
      </c>
      <c r="L14">
        <v>587</v>
      </c>
      <c r="M14">
        <v>587</v>
      </c>
      <c r="N14">
        <v>587</v>
      </c>
      <c r="O14">
        <v>588</v>
      </c>
      <c r="P14">
        <f>SUM(D14:O14)</f>
        <v>7072</v>
      </c>
      <c r="Q14" s="53">
        <v>19.100000000000001</v>
      </c>
      <c r="R14" s="53">
        <v>19.8</v>
      </c>
      <c r="S14" s="53">
        <f t="shared" si="0"/>
        <v>33902.5</v>
      </c>
      <c r="T14" s="53">
        <f t="shared" si="1"/>
        <v>104880.6</v>
      </c>
      <c r="U14" s="53">
        <f t="shared" si="2"/>
        <v>138783.1</v>
      </c>
      <c r="W14" s="84"/>
      <c r="X14" s="6"/>
      <c r="AG14" s="84"/>
      <c r="AH14" s="84"/>
    </row>
    <row r="15" spans="1:34">
      <c r="A15" t="s">
        <v>871</v>
      </c>
      <c r="D15">
        <v>54</v>
      </c>
      <c r="E15">
        <v>55</v>
      </c>
      <c r="F15">
        <v>55</v>
      </c>
      <c r="G15">
        <v>55</v>
      </c>
      <c r="H15">
        <v>56</v>
      </c>
      <c r="I15">
        <v>56</v>
      </c>
      <c r="J15">
        <v>57</v>
      </c>
      <c r="K15">
        <v>59</v>
      </c>
      <c r="L15">
        <v>61</v>
      </c>
      <c r="M15">
        <v>61</v>
      </c>
      <c r="N15">
        <v>60</v>
      </c>
      <c r="O15">
        <v>62</v>
      </c>
      <c r="P15">
        <f>SUM(D15:O15)</f>
        <v>691</v>
      </c>
      <c r="Q15" s="53">
        <v>29.05</v>
      </c>
      <c r="R15" s="53">
        <v>30.15</v>
      </c>
      <c r="S15" s="53">
        <f t="shared" si="0"/>
        <v>4764.2</v>
      </c>
      <c r="T15" s="53">
        <f t="shared" si="1"/>
        <v>15889.05</v>
      </c>
      <c r="U15" s="53">
        <f t="shared" si="2"/>
        <v>20653.25</v>
      </c>
      <c r="W15" s="84"/>
      <c r="X15" s="6"/>
      <c r="AG15" s="84"/>
      <c r="AH15" s="84"/>
    </row>
    <row r="16" spans="1:34">
      <c r="A16" t="s">
        <v>863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f>SUM(D16:O16)</f>
        <v>0</v>
      </c>
      <c r="Q16" s="53">
        <v>0</v>
      </c>
      <c r="R16" s="53">
        <v>0</v>
      </c>
      <c r="S16" s="53">
        <f t="shared" si="0"/>
        <v>0</v>
      </c>
      <c r="T16" s="53">
        <f t="shared" si="1"/>
        <v>0</v>
      </c>
      <c r="U16" s="53">
        <f t="shared" si="2"/>
        <v>0</v>
      </c>
      <c r="V16" s="53">
        <f>SUM(U12:U16)</f>
        <v>159436.35</v>
      </c>
      <c r="W16" s="84"/>
      <c r="X16" s="6"/>
      <c r="AG16" s="84"/>
      <c r="AH16" s="84"/>
    </row>
    <row r="17" spans="1:35">
      <c r="A17" t="s">
        <v>425</v>
      </c>
      <c r="Q17" s="53"/>
      <c r="R17" s="53"/>
      <c r="S17" s="53"/>
      <c r="T17" s="53"/>
      <c r="U17" s="53"/>
      <c r="W17" s="84"/>
      <c r="X17" s="6"/>
      <c r="AG17" s="84"/>
      <c r="AH17" s="84"/>
    </row>
    <row r="18" spans="1:35">
      <c r="A18" t="s">
        <v>870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f t="shared" ref="P18:P27" si="3">SUM(D18:O18)</f>
        <v>0</v>
      </c>
      <c r="Q18" s="53">
        <v>21.95</v>
      </c>
      <c r="R18" s="53">
        <v>22.8</v>
      </c>
      <c r="S18" s="53">
        <f t="shared" ref="S18:S27" si="4">SUM(D18:F18)*Q18</f>
        <v>0</v>
      </c>
      <c r="T18" s="53">
        <f t="shared" ref="T18:T27" si="5">SUM(G18:O18)*R18</f>
        <v>0</v>
      </c>
      <c r="U18" s="53">
        <f t="shared" ref="U18:U27" si="6">+S18+T18</f>
        <v>0</v>
      </c>
      <c r="W18" s="84"/>
      <c r="X18" s="6"/>
      <c r="AG18" s="84"/>
      <c r="AH18" s="84"/>
    </row>
    <row r="19" spans="1:35">
      <c r="A19" t="s">
        <v>869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f t="shared" si="3"/>
        <v>0</v>
      </c>
      <c r="Q19" s="53">
        <v>32.25</v>
      </c>
      <c r="R19" s="53">
        <v>33.450000000000003</v>
      </c>
      <c r="S19" s="53">
        <f t="shared" si="4"/>
        <v>0</v>
      </c>
      <c r="T19" s="53">
        <f t="shared" si="5"/>
        <v>0</v>
      </c>
      <c r="U19" s="53">
        <f t="shared" si="6"/>
        <v>0</v>
      </c>
      <c r="W19" s="84"/>
      <c r="X19" s="6"/>
      <c r="AG19" s="84"/>
      <c r="AH19" s="84"/>
    </row>
    <row r="20" spans="1:35">
      <c r="A20" t="s">
        <v>424</v>
      </c>
      <c r="D20">
        <v>30</v>
      </c>
      <c r="E20">
        <v>29</v>
      </c>
      <c r="F20">
        <v>29</v>
      </c>
      <c r="G20">
        <v>29</v>
      </c>
      <c r="H20">
        <v>29</v>
      </c>
      <c r="I20">
        <v>29</v>
      </c>
      <c r="J20">
        <v>29</v>
      </c>
      <c r="K20">
        <v>29</v>
      </c>
      <c r="L20">
        <v>29</v>
      </c>
      <c r="M20">
        <v>30</v>
      </c>
      <c r="N20">
        <v>29</v>
      </c>
      <c r="O20">
        <v>29</v>
      </c>
      <c r="P20">
        <f t="shared" si="3"/>
        <v>350</v>
      </c>
      <c r="Q20" s="53">
        <v>60.9</v>
      </c>
      <c r="R20" s="53">
        <v>63.2</v>
      </c>
      <c r="S20" s="53">
        <f t="shared" si="4"/>
        <v>5359.2</v>
      </c>
      <c r="T20" s="53">
        <f t="shared" si="5"/>
        <v>16558.400000000001</v>
      </c>
      <c r="U20" s="53">
        <f t="shared" si="6"/>
        <v>21917.600000000002</v>
      </c>
      <c r="W20" s="84"/>
      <c r="X20" s="6"/>
      <c r="AG20" s="84"/>
      <c r="AH20" s="84"/>
    </row>
    <row r="21" spans="1:35">
      <c r="A21" t="s">
        <v>422</v>
      </c>
      <c r="D21">
        <v>10</v>
      </c>
      <c r="E21">
        <v>10</v>
      </c>
      <c r="F21">
        <v>10</v>
      </c>
      <c r="G21">
        <v>10</v>
      </c>
      <c r="H21">
        <v>10</v>
      </c>
      <c r="I21">
        <v>10</v>
      </c>
      <c r="J21">
        <v>10</v>
      </c>
      <c r="K21">
        <v>10</v>
      </c>
      <c r="L21">
        <v>11</v>
      </c>
      <c r="M21">
        <v>10</v>
      </c>
      <c r="N21">
        <v>10</v>
      </c>
      <c r="O21">
        <v>10</v>
      </c>
      <c r="P21">
        <f t="shared" si="3"/>
        <v>121</v>
      </c>
      <c r="Q21" s="53">
        <v>108.5</v>
      </c>
      <c r="R21" s="53">
        <v>112.55</v>
      </c>
      <c r="S21" s="53">
        <f t="shared" si="4"/>
        <v>3255</v>
      </c>
      <c r="T21" s="53">
        <f t="shared" si="5"/>
        <v>10242.049999999999</v>
      </c>
      <c r="U21" s="53">
        <f t="shared" si="6"/>
        <v>13497.05</v>
      </c>
      <c r="W21" s="84"/>
      <c r="X21" s="6"/>
      <c r="AG21" s="84"/>
      <c r="AH21" s="84"/>
    </row>
    <row r="22" spans="1:35">
      <c r="A22" t="s">
        <v>420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f t="shared" si="3"/>
        <v>0</v>
      </c>
      <c r="Q22" s="53">
        <v>193.85</v>
      </c>
      <c r="R22" s="53">
        <v>201.1</v>
      </c>
      <c r="S22" s="53">
        <f t="shared" si="4"/>
        <v>0</v>
      </c>
      <c r="T22" s="53">
        <f t="shared" si="5"/>
        <v>0</v>
      </c>
      <c r="U22" s="53">
        <f t="shared" si="6"/>
        <v>0</v>
      </c>
      <c r="W22" s="84"/>
      <c r="X22" s="6"/>
      <c r="AG22" s="84"/>
      <c r="AH22" s="84"/>
    </row>
    <row r="23" spans="1:35">
      <c r="A23" t="s">
        <v>419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f t="shared" si="3"/>
        <v>0</v>
      </c>
      <c r="Q23" s="53">
        <v>293.7</v>
      </c>
      <c r="R23" s="53">
        <v>304.7</v>
      </c>
      <c r="S23" s="53">
        <f t="shared" si="4"/>
        <v>0</v>
      </c>
      <c r="T23" s="53">
        <f t="shared" si="5"/>
        <v>0</v>
      </c>
      <c r="U23" s="53">
        <f t="shared" si="6"/>
        <v>0</v>
      </c>
      <c r="W23" s="84"/>
      <c r="X23" s="6"/>
      <c r="AG23" s="84"/>
      <c r="AH23" s="84"/>
    </row>
    <row r="24" spans="1:35">
      <c r="A24" t="s">
        <v>856</v>
      </c>
      <c r="D24">
        <v>3</v>
      </c>
      <c r="E24">
        <v>3</v>
      </c>
      <c r="F24">
        <v>3</v>
      </c>
      <c r="G24">
        <v>3</v>
      </c>
      <c r="H24">
        <v>3</v>
      </c>
      <c r="I24">
        <v>3</v>
      </c>
      <c r="J24">
        <v>3</v>
      </c>
      <c r="K24">
        <v>3</v>
      </c>
      <c r="L24">
        <v>3</v>
      </c>
      <c r="M24">
        <v>3</v>
      </c>
      <c r="N24">
        <v>3</v>
      </c>
      <c r="O24">
        <v>3</v>
      </c>
      <c r="P24">
        <f t="shared" si="3"/>
        <v>36</v>
      </c>
      <c r="Q24" s="53">
        <v>121.8</v>
      </c>
      <c r="R24" s="53">
        <v>126.4</v>
      </c>
      <c r="S24" s="53">
        <f t="shared" si="4"/>
        <v>1096.2</v>
      </c>
      <c r="T24" s="53">
        <f t="shared" si="5"/>
        <v>3412.8</v>
      </c>
      <c r="U24" s="53">
        <f t="shared" si="6"/>
        <v>4509</v>
      </c>
      <c r="W24" s="84"/>
      <c r="X24" s="6"/>
      <c r="AG24" s="84"/>
      <c r="AH24" s="84"/>
    </row>
    <row r="25" spans="1:35">
      <c r="A25" t="s">
        <v>855</v>
      </c>
      <c r="D25">
        <v>6</v>
      </c>
      <c r="E25">
        <v>6</v>
      </c>
      <c r="F25">
        <v>6</v>
      </c>
      <c r="G25">
        <v>6</v>
      </c>
      <c r="H25">
        <v>6</v>
      </c>
      <c r="I25">
        <v>6</v>
      </c>
      <c r="J25">
        <v>6</v>
      </c>
      <c r="K25">
        <v>6</v>
      </c>
      <c r="L25">
        <v>7</v>
      </c>
      <c r="M25">
        <v>8</v>
      </c>
      <c r="N25">
        <v>8</v>
      </c>
      <c r="O25">
        <v>8</v>
      </c>
      <c r="P25">
        <f t="shared" si="3"/>
        <v>79</v>
      </c>
      <c r="Q25" s="53">
        <v>217</v>
      </c>
      <c r="R25" s="53">
        <v>225.1</v>
      </c>
      <c r="S25" s="53">
        <f t="shared" si="4"/>
        <v>3906</v>
      </c>
      <c r="T25" s="53">
        <f t="shared" si="5"/>
        <v>13731.1</v>
      </c>
      <c r="U25" s="53">
        <f t="shared" si="6"/>
        <v>17637.099999999999</v>
      </c>
      <c r="W25" s="84"/>
      <c r="X25" s="6"/>
      <c r="AG25" s="84"/>
      <c r="AH25" s="84"/>
    </row>
    <row r="26" spans="1:35">
      <c r="A26" t="s">
        <v>854</v>
      </c>
      <c r="D26">
        <v>9</v>
      </c>
      <c r="E26">
        <v>9</v>
      </c>
      <c r="F26">
        <v>9</v>
      </c>
      <c r="G26">
        <v>9</v>
      </c>
      <c r="H26">
        <v>9</v>
      </c>
      <c r="I26">
        <v>9</v>
      </c>
      <c r="J26">
        <v>9</v>
      </c>
      <c r="K26">
        <v>9</v>
      </c>
      <c r="L26">
        <v>9</v>
      </c>
      <c r="M26">
        <v>9</v>
      </c>
      <c r="N26">
        <v>9</v>
      </c>
      <c r="O26">
        <v>9</v>
      </c>
      <c r="P26">
        <f t="shared" si="3"/>
        <v>108</v>
      </c>
      <c r="Q26" s="53">
        <v>387.7</v>
      </c>
      <c r="R26" s="53">
        <v>402.2</v>
      </c>
      <c r="S26" s="53">
        <f t="shared" si="4"/>
        <v>10467.9</v>
      </c>
      <c r="T26" s="53">
        <f t="shared" si="5"/>
        <v>32578.2</v>
      </c>
      <c r="U26" s="53">
        <f t="shared" si="6"/>
        <v>43046.1</v>
      </c>
      <c r="W26" s="84"/>
      <c r="AG26" s="84"/>
      <c r="AH26" s="84"/>
    </row>
    <row r="27" spans="1:35">
      <c r="A27" t="s">
        <v>853</v>
      </c>
      <c r="D27">
        <v>4</v>
      </c>
      <c r="E27">
        <v>4</v>
      </c>
      <c r="F27">
        <v>4</v>
      </c>
      <c r="G27">
        <v>4</v>
      </c>
      <c r="H27">
        <v>4</v>
      </c>
      <c r="I27">
        <v>4</v>
      </c>
      <c r="J27">
        <v>4</v>
      </c>
      <c r="K27">
        <v>4</v>
      </c>
      <c r="L27">
        <v>4</v>
      </c>
      <c r="M27">
        <v>4</v>
      </c>
      <c r="N27">
        <v>4</v>
      </c>
      <c r="O27">
        <v>4</v>
      </c>
      <c r="P27">
        <f t="shared" si="3"/>
        <v>48</v>
      </c>
      <c r="Q27" s="53">
        <v>587.4</v>
      </c>
      <c r="R27" s="53">
        <v>609.4</v>
      </c>
      <c r="S27" s="53">
        <f t="shared" si="4"/>
        <v>7048.7999999999993</v>
      </c>
      <c r="T27" s="53">
        <f t="shared" si="5"/>
        <v>21938.399999999998</v>
      </c>
      <c r="U27" s="53">
        <f t="shared" si="6"/>
        <v>28987.199999999997</v>
      </c>
      <c r="W27" s="84"/>
      <c r="AG27" s="84"/>
      <c r="AH27" s="84"/>
    </row>
    <row r="28" spans="1:35">
      <c r="Q28" s="53"/>
      <c r="R28" s="53"/>
      <c r="S28" s="53"/>
      <c r="T28" s="53"/>
      <c r="U28" s="53"/>
      <c r="W28" s="84"/>
      <c r="AG28" s="84"/>
      <c r="AH28" s="84"/>
    </row>
    <row r="29" spans="1:35">
      <c r="A29" t="s">
        <v>852</v>
      </c>
      <c r="D29">
        <v>6</v>
      </c>
      <c r="E29">
        <v>7</v>
      </c>
      <c r="F29" s="18">
        <v>2</v>
      </c>
      <c r="G29">
        <v>1</v>
      </c>
      <c r="H29">
        <v>0</v>
      </c>
      <c r="I29">
        <v>1</v>
      </c>
      <c r="J29">
        <v>1</v>
      </c>
      <c r="K29">
        <v>0</v>
      </c>
      <c r="L29">
        <v>1</v>
      </c>
      <c r="M29">
        <v>0</v>
      </c>
      <c r="N29">
        <v>2.5</v>
      </c>
      <c r="O29" s="76">
        <v>1</v>
      </c>
      <c r="P29" s="76">
        <f>SUM(D29:O29)</f>
        <v>22.5</v>
      </c>
      <c r="Q29" s="53">
        <v>21.05</v>
      </c>
      <c r="R29" s="53">
        <v>21.85</v>
      </c>
      <c r="S29" s="53">
        <f>SUM(D29:F29)*Q29</f>
        <v>315.75</v>
      </c>
      <c r="T29" s="53">
        <f>SUM(G29:O29)*R29</f>
        <v>163.875</v>
      </c>
      <c r="U29" s="53">
        <f>+S29+T29</f>
        <v>479.625</v>
      </c>
      <c r="V29" s="53">
        <f>SUM(U18:U29)</f>
        <v>130073.675</v>
      </c>
      <c r="W29" s="84"/>
      <c r="X29" s="84">
        <f>SUM(X14:X26)</f>
        <v>0</v>
      </c>
      <c r="AG29" s="84"/>
      <c r="AH29" s="84"/>
    </row>
    <row r="30" spans="1:35">
      <c r="P30" s="431">
        <f>SUM(P12:P29)</f>
        <v>8527.5</v>
      </c>
      <c r="Q30" s="53"/>
      <c r="R30" s="53"/>
      <c r="S30" s="53"/>
      <c r="T30" s="53"/>
      <c r="U30" s="53"/>
      <c r="W30" s="84"/>
      <c r="AG30" s="84"/>
      <c r="AH30" s="84"/>
    </row>
    <row r="31" spans="1:35">
      <c r="A31" t="s">
        <v>4</v>
      </c>
      <c r="N31" s="643" t="s">
        <v>1423</v>
      </c>
      <c r="P31">
        <f>SUM(P12:P23)</f>
        <v>8234</v>
      </c>
      <c r="Q31" s="53"/>
      <c r="R31" s="53"/>
      <c r="S31" s="53"/>
      <c r="T31" s="53"/>
      <c r="U31" s="53">
        <f>SUM(U12:U29)</f>
        <v>289510.02500000002</v>
      </c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</row>
    <row r="32" spans="1:35">
      <c r="Q32" s="53"/>
      <c r="R32" s="53"/>
      <c r="S32" s="53"/>
      <c r="T32" s="53"/>
      <c r="U32" s="256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</row>
    <row r="33" spans="1:36">
      <c r="U33" s="53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</row>
    <row r="34" spans="1:36">
      <c r="A34" t="s">
        <v>851</v>
      </c>
      <c r="U34" s="57">
        <f>-'Monthy Income Statements'!O11</f>
        <v>-281255.37999999995</v>
      </c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</row>
    <row r="35" spans="1:36"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</row>
    <row r="36" spans="1:36">
      <c r="A36" t="s">
        <v>259</v>
      </c>
      <c r="O36" s="643" t="s">
        <v>1487</v>
      </c>
      <c r="U36" s="53">
        <f>+U31+U32+U34</f>
        <v>8254.6450000000768</v>
      </c>
      <c r="V36" s="139">
        <f>+U36/U34</f>
        <v>-2.9349287469630194E-2</v>
      </c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</row>
    <row r="37" spans="1:36"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</row>
    <row r="38" spans="1:36">
      <c r="A38" t="s">
        <v>868</v>
      </c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</row>
    <row r="39" spans="1:36">
      <c r="A39" t="s">
        <v>424</v>
      </c>
      <c r="P39">
        <f>ROUND((+P20/12)*52,0)</f>
        <v>1517</v>
      </c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</row>
    <row r="40" spans="1:36">
      <c r="A40" t="s">
        <v>422</v>
      </c>
      <c r="P40">
        <f>ROUND((+P21/12)*52,0)</f>
        <v>524</v>
      </c>
      <c r="W40" s="323"/>
      <c r="X40" s="323"/>
      <c r="Y40" s="323"/>
      <c r="Z40" s="323"/>
      <c r="AA40" s="323"/>
      <c r="AB40" s="323"/>
      <c r="AC40" s="323"/>
      <c r="AD40" s="323"/>
      <c r="AE40" s="323"/>
      <c r="AF40" s="323"/>
      <c r="AG40" s="323"/>
      <c r="AH40" s="323"/>
      <c r="AI40" s="323"/>
      <c r="AJ40" s="323"/>
    </row>
    <row r="41" spans="1:36">
      <c r="A41" t="s">
        <v>420</v>
      </c>
      <c r="P41">
        <f>ROUND((+P22/12)*52,0)</f>
        <v>0</v>
      </c>
      <c r="W41" s="323"/>
      <c r="X41" s="323"/>
      <c r="Y41" s="323"/>
      <c r="Z41" s="323"/>
      <c r="AA41" s="323"/>
      <c r="AB41" s="323"/>
      <c r="AC41" s="323"/>
      <c r="AD41" s="323"/>
      <c r="AE41" s="323"/>
      <c r="AF41" s="323"/>
      <c r="AG41" s="323"/>
      <c r="AH41" s="323"/>
      <c r="AI41" s="323"/>
      <c r="AJ41" s="323"/>
    </row>
    <row r="42" spans="1:36">
      <c r="A42" t="s">
        <v>419</v>
      </c>
      <c r="P42">
        <f>ROUND((+P23/12)*52,0)</f>
        <v>0</v>
      </c>
      <c r="W42" s="323"/>
      <c r="X42" s="323"/>
      <c r="Y42" s="323"/>
      <c r="Z42" s="323"/>
      <c r="AA42" s="323"/>
      <c r="AB42" s="323"/>
      <c r="AC42" s="323"/>
      <c r="AD42" s="323"/>
      <c r="AE42" s="323"/>
      <c r="AF42" s="323"/>
      <c r="AG42" s="323"/>
      <c r="AH42" s="323"/>
      <c r="AI42" s="323"/>
      <c r="AJ42" s="323"/>
    </row>
    <row r="43" spans="1:36">
      <c r="A43" t="s">
        <v>856</v>
      </c>
      <c r="P43">
        <f>ROUND((+P24/12)*104,0)</f>
        <v>312</v>
      </c>
      <c r="W43" s="323"/>
      <c r="X43" s="323"/>
      <c r="Y43" s="323"/>
      <c r="Z43" s="323"/>
      <c r="AA43" s="323"/>
      <c r="AB43" s="323"/>
      <c r="AC43" s="323"/>
      <c r="AD43" s="323"/>
      <c r="AE43" s="323"/>
      <c r="AF43" s="323"/>
      <c r="AG43" s="323"/>
      <c r="AH43" s="323"/>
      <c r="AI43" s="323"/>
      <c r="AJ43" s="323"/>
    </row>
    <row r="44" spans="1:36">
      <c r="A44" t="s">
        <v>855</v>
      </c>
      <c r="P44">
        <f>ROUND((+P25/12)*104,0)</f>
        <v>685</v>
      </c>
      <c r="W44" s="323"/>
      <c r="X44" s="323"/>
      <c r="Y44" s="323"/>
      <c r="Z44" s="323"/>
      <c r="AA44" s="323"/>
      <c r="AB44" s="323"/>
      <c r="AC44" s="323"/>
      <c r="AD44" s="323"/>
      <c r="AE44" s="323"/>
      <c r="AF44" s="323"/>
      <c r="AG44" s="323"/>
      <c r="AH44" s="323"/>
      <c r="AI44" s="323"/>
      <c r="AJ44" s="323"/>
    </row>
    <row r="45" spans="1:36">
      <c r="A45" t="s">
        <v>854</v>
      </c>
      <c r="P45">
        <f>ROUND((+P26/12)*104,0)</f>
        <v>936</v>
      </c>
      <c r="W45" s="323"/>
      <c r="X45" s="323"/>
      <c r="Y45" s="323"/>
      <c r="Z45" s="323"/>
      <c r="AA45" s="323"/>
      <c r="AB45" s="323"/>
      <c r="AC45" s="323"/>
      <c r="AD45" s="323"/>
      <c r="AE45" s="323"/>
      <c r="AF45" s="323"/>
      <c r="AG45" s="323"/>
      <c r="AH45" s="323"/>
      <c r="AI45" s="323"/>
      <c r="AJ45" s="323"/>
    </row>
    <row r="46" spans="1:36">
      <c r="A46" t="s">
        <v>853</v>
      </c>
      <c r="P46">
        <f>ROUND((+P27/12)*104,0)</f>
        <v>416</v>
      </c>
    </row>
    <row r="47" spans="1:36">
      <c r="W47" s="323"/>
    </row>
    <row r="49" spans="1:1">
      <c r="A49" s="643" t="s">
        <v>1486</v>
      </c>
    </row>
  </sheetData>
  <pageMargins left="0.22" right="0.35" top="0.44" bottom="0.53" header="0.5" footer="0.5"/>
  <pageSetup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A1:Y109"/>
  <sheetViews>
    <sheetView workbookViewId="0">
      <pane xSplit="2" ySplit="8" topLeftCell="C75" activePane="bottomRight" state="frozen"/>
      <selection pane="topRight" activeCell="C1" sqref="C1"/>
      <selection pane="bottomLeft" activeCell="A9" sqref="A9"/>
      <selection pane="bottomRight" activeCell="H86" sqref="H86"/>
    </sheetView>
  </sheetViews>
  <sheetFormatPr defaultRowHeight="12.75"/>
  <cols>
    <col min="2" max="2" width="28.5703125" customWidth="1"/>
    <col min="3" max="3" width="12.42578125" customWidth="1"/>
    <col min="4" max="4" width="12" bestFit="1" customWidth="1"/>
    <col min="5" max="5" width="14" bestFit="1" customWidth="1"/>
    <col min="6" max="6" width="7.7109375" customWidth="1"/>
    <col min="7" max="7" width="8.7109375" customWidth="1"/>
    <col min="8" max="8" width="11.28515625" bestFit="1" customWidth="1"/>
    <col min="9" max="9" width="14" bestFit="1" customWidth="1"/>
    <col min="10" max="10" width="3.140625" customWidth="1"/>
    <col min="11" max="11" width="12.85546875" bestFit="1" customWidth="1"/>
    <col min="12" max="13" width="11.85546875" bestFit="1" customWidth="1"/>
    <col min="14" max="14" width="14.140625" customWidth="1"/>
    <col min="15" max="15" width="3.28515625" customWidth="1"/>
    <col min="16" max="16" width="21.85546875" customWidth="1"/>
    <col min="17" max="17" width="13.42578125" bestFit="1" customWidth="1"/>
    <col min="18" max="18" width="18.85546875" customWidth="1"/>
    <col min="19" max="19" width="13" customWidth="1"/>
    <col min="20" max="20" width="18.140625" customWidth="1"/>
    <col min="21" max="21" width="19" customWidth="1"/>
    <col min="22" max="22" width="19.85546875" customWidth="1"/>
    <col min="23" max="23" width="11.28515625" bestFit="1" customWidth="1"/>
  </cols>
  <sheetData>
    <row r="1" spans="1:25">
      <c r="A1" t="s">
        <v>0</v>
      </c>
    </row>
    <row r="3" spans="1:25">
      <c r="A3" s="643" t="s">
        <v>1351</v>
      </c>
      <c r="C3" s="643" t="s">
        <v>1342</v>
      </c>
      <c r="D3" s="643" t="s">
        <v>689</v>
      </c>
    </row>
    <row r="5" spans="1:25">
      <c r="A5" s="666" t="s">
        <v>1434</v>
      </c>
      <c r="C5" s="127"/>
      <c r="D5" s="127"/>
      <c r="E5" s="127"/>
      <c r="F5" s="127"/>
      <c r="G5" s="127"/>
      <c r="H5" s="127"/>
      <c r="I5" s="127"/>
      <c r="J5" s="127"/>
      <c r="K5" s="785" t="s">
        <v>1118</v>
      </c>
      <c r="L5" s="785"/>
      <c r="M5" s="785"/>
      <c r="N5" s="383"/>
      <c r="O5" s="383"/>
      <c r="P5" s="383"/>
      <c r="Q5" s="127"/>
    </row>
    <row r="6" spans="1:25">
      <c r="C6" s="127"/>
      <c r="D6" s="127"/>
      <c r="E6" s="127"/>
      <c r="F6" s="127"/>
      <c r="G6" s="127"/>
      <c r="H6" s="127"/>
      <c r="I6" s="127"/>
      <c r="J6" s="127"/>
      <c r="K6" s="127"/>
      <c r="L6" s="251" t="s">
        <v>90</v>
      </c>
      <c r="M6" s="251" t="s">
        <v>90</v>
      </c>
      <c r="N6" s="127"/>
      <c r="O6" s="127"/>
      <c r="P6" s="127" t="s">
        <v>1126</v>
      </c>
      <c r="Q6" s="127"/>
    </row>
    <row r="7" spans="1:25">
      <c r="B7" s="397" t="s">
        <v>1129</v>
      </c>
      <c r="C7" s="251" t="s">
        <v>84</v>
      </c>
      <c r="D7" s="251" t="s">
        <v>85</v>
      </c>
      <c r="E7" s="384" t="s">
        <v>84</v>
      </c>
      <c r="F7" s="384"/>
      <c r="G7" s="385"/>
      <c r="H7" s="251" t="s">
        <v>88</v>
      </c>
      <c r="I7" s="384" t="s">
        <v>88</v>
      </c>
      <c r="J7" s="384"/>
      <c r="K7" s="384" t="s">
        <v>94</v>
      </c>
      <c r="L7" s="251" t="s">
        <v>337</v>
      </c>
      <c r="M7" s="251" t="s">
        <v>339</v>
      </c>
      <c r="N7" s="384" t="s">
        <v>2</v>
      </c>
      <c r="O7" s="252"/>
      <c r="P7" s="252"/>
      <c r="Q7" s="785" t="s">
        <v>473</v>
      </c>
      <c r="R7" s="785"/>
      <c r="S7" s="785" t="s">
        <v>472</v>
      </c>
      <c r="T7" s="785"/>
      <c r="U7" s="785" t="s">
        <v>471</v>
      </c>
      <c r="V7" s="785"/>
    </row>
    <row r="8" spans="1:25" ht="13.5" thickBot="1">
      <c r="C8" s="386">
        <v>44834</v>
      </c>
      <c r="D8" s="387" t="s">
        <v>86</v>
      </c>
      <c r="E8" s="388" t="s">
        <v>87</v>
      </c>
      <c r="F8" s="388"/>
      <c r="G8" s="388" t="s">
        <v>1128</v>
      </c>
      <c r="H8" s="389" t="s">
        <v>89</v>
      </c>
      <c r="I8" s="388" t="s">
        <v>93</v>
      </c>
      <c r="J8" s="388"/>
      <c r="K8" s="388" t="s">
        <v>95</v>
      </c>
      <c r="L8" s="387" t="s">
        <v>338</v>
      </c>
      <c r="M8" s="387" t="s">
        <v>338</v>
      </c>
      <c r="N8" s="388" t="s">
        <v>1117</v>
      </c>
      <c r="O8" s="252"/>
      <c r="P8" s="388" t="s">
        <v>1120</v>
      </c>
      <c r="Q8" s="388" t="s">
        <v>1119</v>
      </c>
      <c r="R8" s="388" t="s">
        <v>1127</v>
      </c>
      <c r="S8" s="388" t="s">
        <v>1119</v>
      </c>
      <c r="T8" s="388" t="s">
        <v>1130</v>
      </c>
      <c r="U8" s="388" t="s">
        <v>1119</v>
      </c>
      <c r="V8" s="388" t="s">
        <v>1131</v>
      </c>
    </row>
    <row r="9" spans="1:25" ht="13.5" thickTop="1">
      <c r="E9" s="118"/>
      <c r="F9" s="118"/>
      <c r="G9" s="118"/>
      <c r="I9" s="118"/>
      <c r="J9" s="118"/>
      <c r="K9" s="118"/>
      <c r="N9" s="118"/>
      <c r="O9" s="18"/>
      <c r="P9" s="18"/>
    </row>
    <row r="10" spans="1:25">
      <c r="A10" t="s">
        <v>3</v>
      </c>
      <c r="E10" s="118"/>
      <c r="F10" s="118"/>
      <c r="G10" s="118"/>
      <c r="I10" s="118"/>
      <c r="J10" s="118"/>
      <c r="K10" s="118"/>
      <c r="N10" s="118"/>
      <c r="O10" s="18"/>
      <c r="P10" s="18"/>
    </row>
    <row r="11" spans="1:25">
      <c r="A11">
        <v>3100</v>
      </c>
      <c r="B11" t="s">
        <v>5</v>
      </c>
      <c r="C11" s="395">
        <f>+'Monthy Income Statements'!O10</f>
        <v>2021399.1700000002</v>
      </c>
      <c r="D11" s="112"/>
      <c r="E11" s="119">
        <f t="shared" ref="E11:E19" si="0">+C11+D11</f>
        <v>2021399.1700000002</v>
      </c>
      <c r="F11" s="428">
        <f>E11/$E$21</f>
        <v>0.6409621835514393</v>
      </c>
      <c r="G11" s="393">
        <v>9</v>
      </c>
      <c r="H11" s="112">
        <f>+'Proforma AJEs'!H54</f>
        <v>0</v>
      </c>
      <c r="I11" s="119">
        <f t="shared" ref="I11:I19" si="1">+E11+H11</f>
        <v>2021399.1700000002</v>
      </c>
      <c r="J11" s="119"/>
      <c r="K11" s="119"/>
      <c r="L11" s="112"/>
      <c r="M11" s="112"/>
      <c r="N11" s="382">
        <f t="shared" ref="N11:N19" si="2">I11+K11+L11+M11</f>
        <v>2021399.1700000002</v>
      </c>
      <c r="O11" s="390"/>
      <c r="P11" s="442" t="s">
        <v>1121</v>
      </c>
      <c r="Q11" s="26">
        <f>+'Overhead Allocation'!$L$35</f>
        <v>0.77569522433609861</v>
      </c>
      <c r="R11" s="112">
        <f>N11*Q11</f>
        <v>1567989.6826459537</v>
      </c>
      <c r="S11" s="11">
        <f>+'Overhead Allocation'!$L$36</f>
        <v>5.7363362081592213E-2</v>
      </c>
      <c r="T11" s="403">
        <f>N11*S11</f>
        <v>115954.25250013998</v>
      </c>
      <c r="U11" s="94">
        <f>'Overhead Allocation'!$L$37</f>
        <v>0.16694141358230924</v>
      </c>
      <c r="V11" s="403">
        <f>N11*U11</f>
        <v>337455.23485390667</v>
      </c>
      <c r="Y11" s="11">
        <f>Q11+S11+U11</f>
        <v>1</v>
      </c>
    </row>
    <row r="12" spans="1:25">
      <c r="A12">
        <v>3112</v>
      </c>
      <c r="B12" t="s">
        <v>6</v>
      </c>
      <c r="C12" s="395">
        <f>+'Monthy Income Statements'!O11</f>
        <v>281255.37999999995</v>
      </c>
      <c r="D12" s="112"/>
      <c r="E12" s="119">
        <f t="shared" si="0"/>
        <v>281255.37999999995</v>
      </c>
      <c r="F12" s="428">
        <f t="shared" ref="F12:F17" si="3">E12/$E$21</f>
        <v>8.9182812170834E-2</v>
      </c>
      <c r="G12" s="393">
        <v>6</v>
      </c>
      <c r="H12" s="112">
        <f>+'Proforma AJEs'!H38</f>
        <v>2774.2852500000154</v>
      </c>
      <c r="I12" s="119">
        <f t="shared" si="1"/>
        <v>284029.66524999996</v>
      </c>
      <c r="J12" s="119"/>
      <c r="K12" s="119">
        <f>-'Cost Allocations-Contracts'!I13</f>
        <v>-284029.66524999996</v>
      </c>
      <c r="L12" s="112"/>
      <c r="M12" s="112"/>
      <c r="N12" s="382">
        <f t="shared" si="2"/>
        <v>0</v>
      </c>
      <c r="O12" s="390"/>
      <c r="P12" s="442" t="s">
        <v>1121</v>
      </c>
      <c r="Q12" s="15">
        <v>1</v>
      </c>
      <c r="R12" s="112">
        <f t="shared" ref="R12:R19" si="4">N12*Q12</f>
        <v>0</v>
      </c>
      <c r="S12" s="15">
        <v>0</v>
      </c>
      <c r="T12" s="403">
        <f t="shared" ref="T12:T19" si="5">N12*S12</f>
        <v>0</v>
      </c>
      <c r="U12" s="94">
        <v>0</v>
      </c>
      <c r="V12" s="403">
        <f t="shared" ref="V12:V19" si="6">N12*U12</f>
        <v>0</v>
      </c>
      <c r="Y12" s="11">
        <f t="shared" ref="Y12:Y78" si="7">Q12+S12+U12</f>
        <v>1</v>
      </c>
    </row>
    <row r="13" spans="1:25">
      <c r="A13">
        <v>3114</v>
      </c>
      <c r="B13" t="s">
        <v>7</v>
      </c>
      <c r="C13" s="395">
        <f>+'Monthy Income Statements'!O12</f>
        <v>119568.62999999999</v>
      </c>
      <c r="D13" s="112"/>
      <c r="E13" s="119">
        <f t="shared" si="0"/>
        <v>119568.62999999999</v>
      </c>
      <c r="F13" s="428">
        <f t="shared" si="3"/>
        <v>3.7913822913588177E-2</v>
      </c>
      <c r="G13" s="393">
        <v>6</v>
      </c>
      <c r="H13" s="112">
        <f>+'Proforma AJEs'!H39</f>
        <v>953.09640000000945</v>
      </c>
      <c r="I13" s="119">
        <f t="shared" si="1"/>
        <v>120521.7264</v>
      </c>
      <c r="J13" s="119"/>
      <c r="K13" s="119">
        <f>-'Cost Allocations-Contracts'!L14</f>
        <v>-120521.7264</v>
      </c>
      <c r="L13" s="112"/>
      <c r="M13" s="112"/>
      <c r="N13" s="382">
        <f t="shared" si="2"/>
        <v>0</v>
      </c>
      <c r="O13" s="390"/>
      <c r="P13" s="442" t="s">
        <v>1121</v>
      </c>
      <c r="Q13" s="15">
        <v>1</v>
      </c>
      <c r="R13" s="112">
        <f t="shared" si="4"/>
        <v>0</v>
      </c>
      <c r="S13" s="11">
        <v>0</v>
      </c>
      <c r="T13" s="403">
        <f t="shared" si="5"/>
        <v>0</v>
      </c>
      <c r="U13" s="94">
        <v>0</v>
      </c>
      <c r="V13" s="403">
        <f t="shared" si="6"/>
        <v>0</v>
      </c>
      <c r="Y13" s="11">
        <f t="shared" si="7"/>
        <v>1</v>
      </c>
    </row>
    <row r="14" spans="1:25">
      <c r="A14">
        <v>3300</v>
      </c>
      <c r="B14" t="s">
        <v>8</v>
      </c>
      <c r="C14" s="395">
        <f>+'Monthy Income Statements'!O13</f>
        <v>241108.40100000001</v>
      </c>
      <c r="D14" s="112"/>
      <c r="E14" s="119">
        <f t="shared" si="0"/>
        <v>241108.40100000001</v>
      </c>
      <c r="F14" s="428">
        <f t="shared" si="3"/>
        <v>7.645267172913503E-2</v>
      </c>
      <c r="G14" s="393">
        <v>9</v>
      </c>
      <c r="H14" s="112">
        <f>+'Proforma AJEs'!H60</f>
        <v>0</v>
      </c>
      <c r="I14" s="119">
        <f t="shared" si="1"/>
        <v>241108.40100000001</v>
      </c>
      <c r="J14" s="119"/>
      <c r="K14" s="119"/>
      <c r="L14" s="112"/>
      <c r="M14" s="112"/>
      <c r="N14" s="382">
        <f t="shared" si="2"/>
        <v>241108.40100000001</v>
      </c>
      <c r="O14" s="390"/>
      <c r="P14" s="442" t="s">
        <v>1121</v>
      </c>
      <c r="Q14" s="26">
        <f>+'Drop Box Allocation'!$I$10</f>
        <v>0.43377433568657853</v>
      </c>
      <c r="R14" s="112">
        <f t="shared" si="4"/>
        <v>104586.63647222819</v>
      </c>
      <c r="S14" s="11">
        <f>+'Drop Box Allocation'!$I$11</f>
        <v>0.10870862785255932</v>
      </c>
      <c r="T14" s="403">
        <f t="shared" si="5"/>
        <v>26210.563436434641</v>
      </c>
      <c r="U14" s="94">
        <f>'Drop Box Allocation'!$I$12</f>
        <v>0.45751703646086206</v>
      </c>
      <c r="V14" s="403">
        <f t="shared" si="6"/>
        <v>110311.20109133715</v>
      </c>
      <c r="Y14" s="11">
        <f t="shared" si="7"/>
        <v>0.99999999999999989</v>
      </c>
    </row>
    <row r="15" spans="1:25">
      <c r="A15">
        <v>3310</v>
      </c>
      <c r="B15" t="s">
        <v>9</v>
      </c>
      <c r="C15" s="395">
        <f>+'Monthy Income Statements'!O14</f>
        <v>364912.47</v>
      </c>
      <c r="D15" s="112">
        <f>-'Restating AJEs'!I36</f>
        <v>1018.5000000000146</v>
      </c>
      <c r="E15" s="119">
        <f t="shared" si="0"/>
        <v>365930.97</v>
      </c>
      <c r="F15" s="428">
        <f t="shared" si="3"/>
        <v>0.11603245763690315</v>
      </c>
      <c r="G15" s="393"/>
      <c r="H15" s="112"/>
      <c r="I15" s="119">
        <f t="shared" si="1"/>
        <v>365930.97</v>
      </c>
      <c r="J15" s="119"/>
      <c r="K15" s="119"/>
      <c r="L15" s="112"/>
      <c r="M15" s="112"/>
      <c r="N15" s="382">
        <f t="shared" si="2"/>
        <v>365930.97</v>
      </c>
      <c r="O15" s="390"/>
      <c r="P15" s="442" t="s">
        <v>1121</v>
      </c>
      <c r="Q15" s="26">
        <f>+'Drop Box Allocation'!$D$35</f>
        <v>0.70345771487988229</v>
      </c>
      <c r="R15" s="112">
        <f t="shared" si="4"/>
        <v>257416.96395997875</v>
      </c>
      <c r="S15" s="11">
        <f>+'Drop Box Allocation'!$D$36</f>
        <v>4.1168497420070074E-2</v>
      </c>
      <c r="T15" s="403">
        <f t="shared" si="5"/>
        <v>15064.828194368738</v>
      </c>
      <c r="U15" s="11">
        <f>+'Drop Box Allocation'!$D$37</f>
        <v>0.25537378770004754</v>
      </c>
      <c r="V15" s="403">
        <f t="shared" si="6"/>
        <v>93449.177845652463</v>
      </c>
      <c r="Y15" s="11">
        <f t="shared" si="7"/>
        <v>1</v>
      </c>
    </row>
    <row r="16" spans="1:25">
      <c r="A16">
        <v>3510</v>
      </c>
      <c r="B16" t="s">
        <v>327</v>
      </c>
      <c r="C16" s="395">
        <f>+'Monthy Income Statements'!O15</f>
        <v>77041.150000000009</v>
      </c>
      <c r="D16" s="112"/>
      <c r="E16" s="119">
        <f t="shared" si="0"/>
        <v>77041.150000000009</v>
      </c>
      <c r="F16" s="428">
        <f t="shared" si="3"/>
        <v>2.4428853271624706E-2</v>
      </c>
      <c r="G16" s="378"/>
      <c r="H16" s="112"/>
      <c r="I16" s="119">
        <f t="shared" si="1"/>
        <v>77041.150000000009</v>
      </c>
      <c r="J16" s="119"/>
      <c r="K16" s="119"/>
      <c r="L16" s="112"/>
      <c r="M16" s="112">
        <f>-'Cost Allocations-Recycle'!M17</f>
        <v>-77041.150000000009</v>
      </c>
      <c r="N16" s="382">
        <f t="shared" si="2"/>
        <v>0</v>
      </c>
      <c r="O16" s="390"/>
      <c r="P16" s="442" t="s">
        <v>1121</v>
      </c>
      <c r="Q16" s="88">
        <v>1</v>
      </c>
      <c r="R16" s="112">
        <f t="shared" si="4"/>
        <v>0</v>
      </c>
      <c r="S16" s="88">
        <v>0</v>
      </c>
      <c r="T16" s="403">
        <f t="shared" si="5"/>
        <v>0</v>
      </c>
      <c r="U16" s="94">
        <v>0</v>
      </c>
      <c r="V16" s="403">
        <f t="shared" si="6"/>
        <v>0</v>
      </c>
      <c r="Y16" s="11">
        <f t="shared" si="7"/>
        <v>1</v>
      </c>
    </row>
    <row r="17" spans="1:25">
      <c r="A17">
        <v>3550</v>
      </c>
      <c r="B17" t="s">
        <v>328</v>
      </c>
      <c r="C17" s="395">
        <f>+'Monthy Income Statements'!O16</f>
        <v>47391.199999999997</v>
      </c>
      <c r="D17" s="112"/>
      <c r="E17" s="119">
        <f t="shared" si="0"/>
        <v>47391.199999999997</v>
      </c>
      <c r="F17" s="428">
        <f t="shared" si="3"/>
        <v>1.5027198726475665E-2</v>
      </c>
      <c r="G17" s="378"/>
      <c r="H17" s="112"/>
      <c r="I17" s="119">
        <f t="shared" si="1"/>
        <v>47391.199999999997</v>
      </c>
      <c r="J17" s="119"/>
      <c r="K17" s="119"/>
      <c r="L17" s="112">
        <f>-'Cost Allocations-Recycle'!J18</f>
        <v>-47391.199999999997</v>
      </c>
      <c r="M17" s="112"/>
      <c r="N17" s="382">
        <f t="shared" si="2"/>
        <v>0</v>
      </c>
      <c r="O17" s="390"/>
      <c r="P17" s="442" t="s">
        <v>1121</v>
      </c>
      <c r="Q17" s="88">
        <v>1</v>
      </c>
      <c r="R17" s="112">
        <f t="shared" si="4"/>
        <v>0</v>
      </c>
      <c r="S17" s="88">
        <f>+'Drop Box Allocation'!$D$38</f>
        <v>0</v>
      </c>
      <c r="T17" s="403">
        <f t="shared" si="5"/>
        <v>0</v>
      </c>
      <c r="U17" s="94">
        <v>0</v>
      </c>
      <c r="V17" s="403">
        <f t="shared" si="6"/>
        <v>0</v>
      </c>
      <c r="Y17" s="11">
        <f t="shared" si="7"/>
        <v>1</v>
      </c>
    </row>
    <row r="18" spans="1:25">
      <c r="A18">
        <v>3400</v>
      </c>
      <c r="B18" t="s">
        <v>10</v>
      </c>
      <c r="C18" s="395">
        <f>+'Monthy Income Statements'!O17</f>
        <v>0</v>
      </c>
      <c r="D18" s="112"/>
      <c r="E18" s="119">
        <f t="shared" si="0"/>
        <v>0</v>
      </c>
      <c r="F18" s="119"/>
      <c r="G18" s="378"/>
      <c r="H18" s="112"/>
      <c r="I18" s="119">
        <f t="shared" si="1"/>
        <v>0</v>
      </c>
      <c r="J18" s="119"/>
      <c r="K18" s="119"/>
      <c r="L18" s="112"/>
      <c r="M18" s="112"/>
      <c r="N18" s="382">
        <f t="shared" si="2"/>
        <v>0</v>
      </c>
      <c r="O18" s="390"/>
      <c r="P18" s="442" t="s">
        <v>1121</v>
      </c>
      <c r="Q18" s="88">
        <v>1</v>
      </c>
      <c r="R18" s="112">
        <f t="shared" si="4"/>
        <v>0</v>
      </c>
      <c r="S18" s="88">
        <v>0</v>
      </c>
      <c r="T18" s="403">
        <f t="shared" si="5"/>
        <v>0</v>
      </c>
      <c r="U18" s="94">
        <v>0</v>
      </c>
      <c r="V18" s="403">
        <f t="shared" si="6"/>
        <v>0</v>
      </c>
      <c r="Y18" s="11">
        <f t="shared" si="7"/>
        <v>1</v>
      </c>
    </row>
    <row r="19" spans="1:25" ht="13.5" thickBot="1">
      <c r="A19">
        <v>3500</v>
      </c>
      <c r="B19" t="s">
        <v>11</v>
      </c>
      <c r="C19" s="396">
        <f>+'Monthy Income Statements'!O18</f>
        <v>0</v>
      </c>
      <c r="D19" s="113"/>
      <c r="E19" s="120">
        <f t="shared" si="0"/>
        <v>0</v>
      </c>
      <c r="F19" s="120"/>
      <c r="G19" s="379"/>
      <c r="H19" s="113"/>
      <c r="I19" s="120">
        <f t="shared" si="1"/>
        <v>0</v>
      </c>
      <c r="J19" s="120"/>
      <c r="K19" s="120"/>
      <c r="L19" s="113"/>
      <c r="M19" s="113"/>
      <c r="N19" s="120">
        <f t="shared" si="2"/>
        <v>0</v>
      </c>
      <c r="O19" s="391"/>
      <c r="P19" s="442" t="s">
        <v>1121</v>
      </c>
      <c r="Q19" s="25">
        <v>1</v>
      </c>
      <c r="R19" s="113">
        <f t="shared" si="4"/>
        <v>0</v>
      </c>
      <c r="S19" s="12">
        <v>0</v>
      </c>
      <c r="T19" s="394">
        <f t="shared" si="5"/>
        <v>0</v>
      </c>
      <c r="U19" s="392">
        <v>0</v>
      </c>
      <c r="V19" s="394">
        <f t="shared" si="6"/>
        <v>0</v>
      </c>
      <c r="Y19" s="11">
        <f t="shared" si="7"/>
        <v>1</v>
      </c>
    </row>
    <row r="20" spans="1:25">
      <c r="C20" s="112"/>
      <c r="D20" s="112"/>
      <c r="E20" s="119"/>
      <c r="F20" s="119"/>
      <c r="G20" s="115"/>
      <c r="H20" s="112"/>
      <c r="I20" s="119"/>
      <c r="J20" s="119"/>
      <c r="K20" s="119"/>
      <c r="L20" s="112"/>
      <c r="M20" s="112"/>
      <c r="N20" s="118"/>
      <c r="O20" s="18"/>
      <c r="P20" s="18"/>
      <c r="Q20" s="11"/>
      <c r="R20" s="112"/>
      <c r="T20" s="403"/>
      <c r="U20" s="94"/>
      <c r="V20" s="403"/>
      <c r="Y20" s="11"/>
    </row>
    <row r="21" spans="1:25" ht="13.5" thickBot="1">
      <c r="B21" t="s">
        <v>4</v>
      </c>
      <c r="C21" s="113">
        <f>SUM(C11:C19)</f>
        <v>3152676.4010000001</v>
      </c>
      <c r="D21" s="113">
        <f>SUM(D11:D19)</f>
        <v>1018.5000000000146</v>
      </c>
      <c r="E21" s="120">
        <f>SUM(E11:E19)</f>
        <v>3153694.9010000001</v>
      </c>
      <c r="F21" s="120"/>
      <c r="G21" s="380"/>
      <c r="H21" s="113">
        <f>SUM(H11:H19)</f>
        <v>3727.3816500000248</v>
      </c>
      <c r="I21" s="120">
        <f>SUM(I11:I19)</f>
        <v>3157422.28265</v>
      </c>
      <c r="J21" s="120"/>
      <c r="K21" s="120">
        <f>SUM(K11:K19)</f>
        <v>-404551.39164999995</v>
      </c>
      <c r="L21" s="113">
        <f>SUM(L11:L19)</f>
        <v>-47391.199999999997</v>
      </c>
      <c r="M21" s="113">
        <f>SUM(M11:M19)</f>
        <v>-77041.150000000009</v>
      </c>
      <c r="N21" s="120">
        <f>SUM(N11:N19)</f>
        <v>2628438.5410000002</v>
      </c>
      <c r="O21" s="391"/>
      <c r="P21" s="391"/>
      <c r="Q21" s="12">
        <f>+R21/$N$21</f>
        <v>0.73427369633070694</v>
      </c>
      <c r="R21" s="113">
        <f>SUM(R11:R19)</f>
        <v>1929993.2830781606</v>
      </c>
      <c r="S21" s="12">
        <f>+T21/$N$21</f>
        <v>5.9818649619680551E-2</v>
      </c>
      <c r="T21" s="394">
        <f>SUM(T11:T19)</f>
        <v>157229.64413094337</v>
      </c>
      <c r="U21" s="12">
        <f>+V21/$N$21</f>
        <v>0.2059076540496125</v>
      </c>
      <c r="V21" s="394">
        <f>SUM(V11:V19)</f>
        <v>541215.61379089626</v>
      </c>
      <c r="Y21" s="11"/>
    </row>
    <row r="22" spans="1:25">
      <c r="C22" s="112"/>
      <c r="D22" s="112"/>
      <c r="E22" s="119"/>
      <c r="F22" s="119"/>
      <c r="G22" s="115"/>
      <c r="H22" s="112"/>
      <c r="I22" s="119"/>
      <c r="J22" s="119"/>
      <c r="K22" s="119"/>
      <c r="L22" s="112"/>
      <c r="M22" s="112"/>
      <c r="N22" s="118"/>
      <c r="O22" s="18"/>
      <c r="P22" s="18"/>
      <c r="Q22" s="11"/>
      <c r="R22" s="112"/>
      <c r="T22" s="403"/>
      <c r="U22" s="94"/>
      <c r="V22" s="403"/>
      <c r="Y22" s="11"/>
    </row>
    <row r="23" spans="1:25">
      <c r="A23" t="s">
        <v>12</v>
      </c>
      <c r="C23" s="112"/>
      <c r="D23" s="112"/>
      <c r="E23" s="119"/>
      <c r="F23" s="119"/>
      <c r="G23" s="115"/>
      <c r="H23" s="112"/>
      <c r="I23" s="119"/>
      <c r="J23" s="119"/>
      <c r="K23" s="119"/>
      <c r="L23" s="112"/>
      <c r="M23" s="112"/>
      <c r="N23" s="118"/>
      <c r="O23" s="18"/>
      <c r="P23" s="18"/>
      <c r="Q23" s="11"/>
      <c r="R23" s="112"/>
      <c r="T23" s="403"/>
      <c r="U23" s="94"/>
      <c r="V23" s="403"/>
      <c r="Y23" s="11"/>
    </row>
    <row r="24" spans="1:25">
      <c r="A24" t="s">
        <v>13</v>
      </c>
      <c r="C24" s="112"/>
      <c r="D24" s="112"/>
      <c r="E24" s="119"/>
      <c r="F24" s="119"/>
      <c r="G24" s="115"/>
      <c r="H24" s="112"/>
      <c r="I24" s="119"/>
      <c r="J24" s="119"/>
      <c r="K24" s="119"/>
      <c r="L24" s="112"/>
      <c r="M24" s="112"/>
      <c r="N24" s="118"/>
      <c r="O24" s="18"/>
      <c r="P24" s="18"/>
      <c r="Q24" s="11"/>
      <c r="R24" s="112"/>
      <c r="T24" s="403"/>
      <c r="U24" s="94"/>
      <c r="V24" s="403"/>
      <c r="Y24" s="11"/>
    </row>
    <row r="25" spans="1:25">
      <c r="A25">
        <v>4116</v>
      </c>
      <c r="B25" t="s">
        <v>29</v>
      </c>
      <c r="C25" s="395">
        <f>+'Monthy Income Statements'!O24</f>
        <v>99700.398000000001</v>
      </c>
      <c r="D25" s="112"/>
      <c r="E25" s="119">
        <f t="shared" ref="E25:E38" si="8">+C25+D25</f>
        <v>99700.398000000001</v>
      </c>
      <c r="F25" s="119"/>
      <c r="G25" s="115"/>
      <c r="H25" s="112"/>
      <c r="I25" s="119">
        <f>+E25+H25</f>
        <v>99700.398000000001</v>
      </c>
      <c r="J25" s="119"/>
      <c r="K25" s="119">
        <f>-'Cost Allocations-Contracts'!I26-'Cost Allocations-Contracts'!L26</f>
        <v>-12496.560299551491</v>
      </c>
      <c r="L25" s="112">
        <f>-'Cost Allocations-Recycle'!J26</f>
        <v>-2863.4582491951364</v>
      </c>
      <c r="M25" s="112">
        <f>-'Cost Allocations-Recycle'!M26</f>
        <v>0</v>
      </c>
      <c r="N25" s="382">
        <f t="shared" ref="N25:N57" si="9">I25+K25+L25+M25</f>
        <v>84340.379451253379</v>
      </c>
      <c r="O25" s="390"/>
      <c r="P25" s="390" t="s">
        <v>484</v>
      </c>
      <c r="Q25" s="26">
        <f>+'Hours &amp; Miles by County'!$D$25</f>
        <v>0.77916197521708785</v>
      </c>
      <c r="R25" s="112">
        <f>N25*Q25</f>
        <v>65714.816643797269</v>
      </c>
      <c r="S25" s="11">
        <f>+'Hours &amp; Miles by County'!$E$25</f>
        <v>7.6867423026312817E-2</v>
      </c>
      <c r="T25" s="403">
        <f>N25*S25</f>
        <v>6483.0276254792343</v>
      </c>
      <c r="U25" s="94">
        <f>'Hours &amp; Miles by County'!$F$25</f>
        <v>0.14397060175659929</v>
      </c>
      <c r="V25" s="403">
        <f>N25*U25</f>
        <v>12142.535181976869</v>
      </c>
      <c r="Y25" s="11">
        <f t="shared" si="7"/>
        <v>0.99999999999999989</v>
      </c>
    </row>
    <row r="26" spans="1:25">
      <c r="A26">
        <v>4117</v>
      </c>
      <c r="B26" t="s">
        <v>277</v>
      </c>
      <c r="C26" s="395">
        <f>+'Monthy Income Statements'!O25</f>
        <v>3554.75</v>
      </c>
      <c r="D26" s="112"/>
      <c r="E26" s="119">
        <f t="shared" si="8"/>
        <v>3554.75</v>
      </c>
      <c r="F26" s="119"/>
      <c r="G26" s="115"/>
      <c r="H26" s="112"/>
      <c r="I26" s="119">
        <f t="shared" ref="I26:I92" si="10">+E26+H26</f>
        <v>3554.75</v>
      </c>
      <c r="J26" s="119"/>
      <c r="K26" s="119">
        <f>-'Cost Allocations-Contracts'!I27-'Cost Allocations-Contracts'!L27</f>
        <v>0</v>
      </c>
      <c r="L26" s="112">
        <f>-'Cost Allocations-Recycle'!J27</f>
        <v>0</v>
      </c>
      <c r="M26" s="112">
        <f>-'Cost Allocations-Recycle'!M27</f>
        <v>0</v>
      </c>
      <c r="N26" s="382">
        <f t="shared" si="9"/>
        <v>3554.75</v>
      </c>
      <c r="O26" s="390"/>
      <c r="P26" s="390" t="s">
        <v>484</v>
      </c>
      <c r="Q26" s="26">
        <f>+'Hours &amp; Miles by County'!$D$25</f>
        <v>0.77916197521708785</v>
      </c>
      <c r="R26" s="112">
        <f t="shared" ref="R26:R92" si="11">N26*Q26</f>
        <v>2769.7260314029431</v>
      </c>
      <c r="S26" s="11">
        <f>+'Hours &amp; Miles by County'!$E$25</f>
        <v>7.6867423026312817E-2</v>
      </c>
      <c r="T26" s="403">
        <f t="shared" ref="T26:T92" si="12">N26*S26</f>
        <v>273.24447200278547</v>
      </c>
      <c r="U26" s="94">
        <f>'Hours &amp; Miles by County'!$F$25</f>
        <v>0.14397060175659929</v>
      </c>
      <c r="V26" s="403">
        <f t="shared" ref="V26:V92" si="13">N26*U26</f>
        <v>511.77949659427134</v>
      </c>
      <c r="Y26" s="11">
        <f t="shared" si="7"/>
        <v>0.99999999999999989</v>
      </c>
    </row>
    <row r="27" spans="1:25">
      <c r="A27">
        <v>4118</v>
      </c>
      <c r="B27" t="s">
        <v>30</v>
      </c>
      <c r="C27" s="395">
        <f>+'Monthy Income Statements'!O26</f>
        <v>3089</v>
      </c>
      <c r="D27" s="112"/>
      <c r="E27" s="119">
        <f t="shared" si="8"/>
        <v>3089</v>
      </c>
      <c r="F27" s="119"/>
      <c r="G27" s="115"/>
      <c r="H27" s="112"/>
      <c r="I27" s="119">
        <f t="shared" si="10"/>
        <v>3089</v>
      </c>
      <c r="J27" s="119"/>
      <c r="K27" s="119">
        <f>-'Cost Allocations-Contracts'!I28-'Cost Allocations-Contracts'!L28</f>
        <v>-259.38167938931298</v>
      </c>
      <c r="L27" s="112">
        <f>-'Cost Allocations-Recycle'!J28</f>
        <v>0</v>
      </c>
      <c r="M27" s="112">
        <f>-'Cost Allocations-Recycle'!M28</f>
        <v>0</v>
      </c>
      <c r="N27" s="382">
        <f t="shared" si="9"/>
        <v>2829.6183206106871</v>
      </c>
      <c r="O27" s="390"/>
      <c r="P27" s="390" t="s">
        <v>1122</v>
      </c>
      <c r="Q27" s="26">
        <f>ROUND(+'Container Count by County'!$K$22,3)</f>
        <v>0.82</v>
      </c>
      <c r="R27" s="112">
        <f t="shared" si="11"/>
        <v>2320.2870229007631</v>
      </c>
      <c r="S27" s="26">
        <f>ROUND(+'Container Count by County'!$K$24,3)</f>
        <v>0.04</v>
      </c>
      <c r="T27" s="403">
        <f t="shared" si="12"/>
        <v>113.18473282442748</v>
      </c>
      <c r="U27" s="94">
        <f>ROUND(+'Container Count by County'!$K$26,3)</f>
        <v>0.13</v>
      </c>
      <c r="V27" s="403">
        <f t="shared" si="13"/>
        <v>367.85038167938933</v>
      </c>
      <c r="Y27" s="11">
        <f t="shared" si="7"/>
        <v>0.99</v>
      </c>
    </row>
    <row r="28" spans="1:25">
      <c r="A28">
        <v>4120</v>
      </c>
      <c r="B28" t="s">
        <v>278</v>
      </c>
      <c r="C28" s="395">
        <f>+'Monthy Income Statements'!O27</f>
        <v>140</v>
      </c>
      <c r="D28" s="112"/>
      <c r="E28" s="119">
        <f t="shared" si="8"/>
        <v>140</v>
      </c>
      <c r="F28" s="119"/>
      <c r="G28" s="115"/>
      <c r="H28" s="112"/>
      <c r="I28" s="119">
        <f t="shared" si="10"/>
        <v>140</v>
      </c>
      <c r="J28" s="119"/>
      <c r="K28" s="119">
        <f>-'Cost Allocations-Contracts'!I29-'Cost Allocations-Contracts'!L29</f>
        <v>0</v>
      </c>
      <c r="L28" s="112">
        <f>-'Cost Allocations-Recycle'!J29</f>
        <v>0</v>
      </c>
      <c r="M28" s="112">
        <f>-'Cost Allocations-Recycle'!M29</f>
        <v>0</v>
      </c>
      <c r="N28" s="382">
        <f t="shared" si="9"/>
        <v>140</v>
      </c>
      <c r="O28" s="390"/>
      <c r="P28" s="390" t="s">
        <v>1122</v>
      </c>
      <c r="Q28" s="26">
        <f>ROUND(+'Container Count by County'!$K$22,3)</f>
        <v>0.82</v>
      </c>
      <c r="R28" s="112">
        <f t="shared" si="11"/>
        <v>114.8</v>
      </c>
      <c r="S28" s="26">
        <f>ROUND(+'Container Count by County'!$K$24,3)</f>
        <v>0.04</v>
      </c>
      <c r="T28" s="403">
        <f t="shared" si="12"/>
        <v>5.6000000000000005</v>
      </c>
      <c r="U28" s="94">
        <f>ROUND(+'Container Count by County'!$K$26,3)</f>
        <v>0.13</v>
      </c>
      <c r="V28" s="403">
        <f t="shared" si="13"/>
        <v>18.2</v>
      </c>
      <c r="Y28" s="11">
        <f t="shared" si="7"/>
        <v>0.99</v>
      </c>
    </row>
    <row r="29" spans="1:25">
      <c r="A29">
        <v>4122</v>
      </c>
      <c r="B29" t="s">
        <v>329</v>
      </c>
      <c r="C29" s="395">
        <f>+'Monthy Income Statements'!O28</f>
        <v>4619.5</v>
      </c>
      <c r="D29" s="112"/>
      <c r="E29" s="119">
        <f t="shared" si="8"/>
        <v>4619.5</v>
      </c>
      <c r="F29" s="119"/>
      <c r="G29" s="115"/>
      <c r="H29" s="112"/>
      <c r="I29" s="119">
        <f t="shared" si="10"/>
        <v>4619.5</v>
      </c>
      <c r="J29" s="119"/>
      <c r="K29" s="119">
        <f>-'Cost Allocations-Contracts'!I30-'Cost Allocations-Contracts'!L30</f>
        <v>0</v>
      </c>
      <c r="L29" s="112">
        <f>-'Cost Allocations-Recycle'!J30</f>
        <v>0</v>
      </c>
      <c r="M29" s="112">
        <f>-'Cost Allocations-Recycle'!M30</f>
        <v>-4619.5</v>
      </c>
      <c r="N29" s="382">
        <f t="shared" si="9"/>
        <v>0</v>
      </c>
      <c r="O29" s="390"/>
      <c r="P29" s="390" t="s">
        <v>1122</v>
      </c>
      <c r="Q29" s="88">
        <f>ROUND(+'Container Count by County'!$K$22,3)</f>
        <v>0.82</v>
      </c>
      <c r="R29" s="112">
        <f t="shared" si="11"/>
        <v>0</v>
      </c>
      <c r="S29" s="88">
        <f>ROUND(+'Container Count by County'!$K$24,3)</f>
        <v>0.04</v>
      </c>
      <c r="T29" s="403">
        <f t="shared" si="12"/>
        <v>0</v>
      </c>
      <c r="U29" s="94">
        <f>ROUND(+'Container Count by County'!$K$26,3)</f>
        <v>0.13</v>
      </c>
      <c r="V29" s="403">
        <f t="shared" si="13"/>
        <v>0</v>
      </c>
      <c r="Y29" s="11">
        <f t="shared" si="7"/>
        <v>0.99</v>
      </c>
    </row>
    <row r="30" spans="1:25">
      <c r="A30">
        <v>4132</v>
      </c>
      <c r="B30" t="s">
        <v>31</v>
      </c>
      <c r="C30" s="395">
        <f>+'Monthy Income Statements'!O29</f>
        <v>60580.42</v>
      </c>
      <c r="D30" s="112"/>
      <c r="E30" s="119">
        <f t="shared" si="8"/>
        <v>60580.42</v>
      </c>
      <c r="F30" s="119"/>
      <c r="G30" s="115"/>
      <c r="H30" s="112"/>
      <c r="I30" s="119">
        <f t="shared" si="10"/>
        <v>60580.42</v>
      </c>
      <c r="J30" s="119"/>
      <c r="K30" s="119">
        <f>-'Cost Allocations-Contracts'!I31-'Cost Allocations-Contracts'!L31</f>
        <v>-7593.2181484586963</v>
      </c>
      <c r="L30" s="112">
        <f>-'Cost Allocations-Recycle'!J31</f>
        <v>-1739.9078325515416</v>
      </c>
      <c r="M30" s="112">
        <f>-'Cost Allocations-Recycle'!M31</f>
        <v>0</v>
      </c>
      <c r="N30" s="382">
        <f t="shared" si="9"/>
        <v>51247.294018989756</v>
      </c>
      <c r="O30" s="390"/>
      <c r="P30" s="390" t="s">
        <v>484</v>
      </c>
      <c r="Q30" s="26">
        <f>+'Hours &amp; Miles by County'!$D$25</f>
        <v>0.77916197521708785</v>
      </c>
      <c r="R30" s="112">
        <f t="shared" si="11"/>
        <v>39929.942832366913</v>
      </c>
      <c r="S30" s="11">
        <f>+'Hours &amp; Miles by County'!$E$25</f>
        <v>7.6867423026312817E-2</v>
      </c>
      <c r="T30" s="403">
        <f t="shared" si="12"/>
        <v>3939.2474283115162</v>
      </c>
      <c r="U30" s="94">
        <f>'Hours &amp; Miles by County'!$F$25</f>
        <v>0.14397060175659929</v>
      </c>
      <c r="V30" s="403">
        <f t="shared" si="13"/>
        <v>7378.1037583113266</v>
      </c>
      <c r="Y30" s="11">
        <f t="shared" si="7"/>
        <v>0.99999999999999989</v>
      </c>
    </row>
    <row r="31" spans="1:25">
      <c r="A31">
        <v>4133</v>
      </c>
      <c r="B31" t="s">
        <v>279</v>
      </c>
      <c r="C31" s="395">
        <f>+'Monthy Income Statements'!O30</f>
        <v>5382.42</v>
      </c>
      <c r="D31" s="112"/>
      <c r="E31" s="119">
        <f t="shared" si="8"/>
        <v>5382.42</v>
      </c>
      <c r="F31" s="119"/>
      <c r="G31" s="115"/>
      <c r="H31" s="112"/>
      <c r="I31" s="119">
        <f t="shared" si="10"/>
        <v>5382.42</v>
      </c>
      <c r="J31" s="119"/>
      <c r="K31" s="119">
        <f>-'Cost Allocations-Contracts'!I32-'Cost Allocations-Contracts'!L32</f>
        <v>0</v>
      </c>
      <c r="L31" s="112">
        <f>-'Cost Allocations-Recycle'!J32</f>
        <v>0</v>
      </c>
      <c r="M31" s="112">
        <f>-'Cost Allocations-Recycle'!M32</f>
        <v>0</v>
      </c>
      <c r="N31" s="382">
        <f t="shared" si="9"/>
        <v>5382.42</v>
      </c>
      <c r="O31" s="390"/>
      <c r="P31" s="390" t="s">
        <v>484</v>
      </c>
      <c r="Q31" s="26">
        <f>+'Hours &amp; Miles by County'!$D$25</f>
        <v>0.77916197521708785</v>
      </c>
      <c r="R31" s="112">
        <f t="shared" si="11"/>
        <v>4193.776998647958</v>
      </c>
      <c r="S31" s="11">
        <f>+'Hours &amp; Miles by County'!$E$25</f>
        <v>7.6867423026312817E-2</v>
      </c>
      <c r="T31" s="403">
        <f t="shared" si="12"/>
        <v>413.73275504528664</v>
      </c>
      <c r="U31" s="94">
        <f>'Hours &amp; Miles by County'!$F$25</f>
        <v>0.14397060175659929</v>
      </c>
      <c r="V31" s="403">
        <f t="shared" si="13"/>
        <v>774.9102463067552</v>
      </c>
      <c r="Y31" s="11">
        <f t="shared" si="7"/>
        <v>0.99999999999999989</v>
      </c>
    </row>
    <row r="32" spans="1:25">
      <c r="A32">
        <v>4134</v>
      </c>
      <c r="B32" t="s">
        <v>32</v>
      </c>
      <c r="C32" s="395">
        <f>+'Monthy Income Statements'!O31</f>
        <v>4733.16</v>
      </c>
      <c r="D32" s="112"/>
      <c r="E32" s="119">
        <f t="shared" si="8"/>
        <v>4733.16</v>
      </c>
      <c r="F32" s="119"/>
      <c r="G32" s="115"/>
      <c r="H32" s="112"/>
      <c r="I32" s="119">
        <f t="shared" si="10"/>
        <v>4733.16</v>
      </c>
      <c r="J32" s="119"/>
      <c r="K32" s="119">
        <f>-'Cost Allocations-Contracts'!I33-'Cost Allocations-Contracts'!L33</f>
        <v>-397.44091603053437</v>
      </c>
      <c r="L32" s="112">
        <f>-'Cost Allocations-Recycle'!J33</f>
        <v>0</v>
      </c>
      <c r="M32" s="112">
        <f>-'Cost Allocations-Recycle'!M33</f>
        <v>0</v>
      </c>
      <c r="N32" s="382">
        <f t="shared" si="9"/>
        <v>4335.7190839694658</v>
      </c>
      <c r="O32" s="390"/>
      <c r="P32" s="390" t="s">
        <v>1122</v>
      </c>
      <c r="Q32" s="26">
        <f>ROUND(+'Container Count by County'!$K$22,3)</f>
        <v>0.82</v>
      </c>
      <c r="R32" s="112">
        <f t="shared" si="11"/>
        <v>3555.2896488549618</v>
      </c>
      <c r="S32" s="26">
        <f>ROUND(+'Container Count by County'!$K$24,3)</f>
        <v>0.04</v>
      </c>
      <c r="T32" s="403">
        <f t="shared" si="12"/>
        <v>173.42876335877864</v>
      </c>
      <c r="U32" s="94">
        <f>ROUND(+'Container Count by County'!$K$26,3)</f>
        <v>0.13</v>
      </c>
      <c r="V32" s="403">
        <f t="shared" si="13"/>
        <v>563.64348091603063</v>
      </c>
      <c r="Y32" s="11">
        <f t="shared" si="7"/>
        <v>0.99</v>
      </c>
    </row>
    <row r="33" spans="1:25">
      <c r="A33">
        <v>4136</v>
      </c>
      <c r="B33" t="s">
        <v>280</v>
      </c>
      <c r="C33" s="395">
        <f>+'Monthy Income Statements'!O32</f>
        <v>526.72</v>
      </c>
      <c r="D33" s="112"/>
      <c r="E33" s="119">
        <f t="shared" si="8"/>
        <v>526.72</v>
      </c>
      <c r="F33" s="119"/>
      <c r="G33" s="115"/>
      <c r="H33" s="112"/>
      <c r="I33" s="119">
        <f t="shared" si="10"/>
        <v>526.72</v>
      </c>
      <c r="J33" s="119"/>
      <c r="K33" s="119">
        <f>-'Cost Allocations-Contracts'!I34-'Cost Allocations-Contracts'!L34</f>
        <v>0</v>
      </c>
      <c r="L33" s="112">
        <f>-'Cost Allocations-Recycle'!J34</f>
        <v>0</v>
      </c>
      <c r="M33" s="112">
        <f>-'Cost Allocations-Recycle'!M34</f>
        <v>0</v>
      </c>
      <c r="N33" s="382">
        <f t="shared" si="9"/>
        <v>526.72</v>
      </c>
      <c r="O33" s="390"/>
      <c r="P33" s="390" t="s">
        <v>1122</v>
      </c>
      <c r="Q33" s="26">
        <f>ROUND(+'Container Count by County'!$K$22,3)</f>
        <v>0.82</v>
      </c>
      <c r="R33" s="112">
        <f t="shared" si="11"/>
        <v>431.91039999999998</v>
      </c>
      <c r="S33" s="26">
        <f>ROUND(+'Container Count by County'!$K$24,3)</f>
        <v>0.04</v>
      </c>
      <c r="T33" s="403">
        <f t="shared" si="12"/>
        <v>21.068800000000003</v>
      </c>
      <c r="U33" s="94">
        <f>ROUND(+'Container Count by County'!$K$26,3)</f>
        <v>0.13</v>
      </c>
      <c r="V33" s="403">
        <f t="shared" si="13"/>
        <v>68.473600000000005</v>
      </c>
      <c r="Y33" s="11">
        <f t="shared" si="7"/>
        <v>0.99</v>
      </c>
    </row>
    <row r="34" spans="1:25">
      <c r="A34">
        <v>4138</v>
      </c>
      <c r="B34" t="s">
        <v>330</v>
      </c>
      <c r="C34" s="395">
        <f>+'Monthy Income Statements'!O33</f>
        <v>2603.9899999999998</v>
      </c>
      <c r="D34" s="112"/>
      <c r="E34" s="119">
        <f t="shared" si="8"/>
        <v>2603.9899999999998</v>
      </c>
      <c r="F34" s="119"/>
      <c r="G34" s="115"/>
      <c r="H34" s="112"/>
      <c r="I34" s="119">
        <f t="shared" si="10"/>
        <v>2603.9899999999998</v>
      </c>
      <c r="J34" s="119"/>
      <c r="K34" s="119">
        <f>-'Cost Allocations-Contracts'!I35-'Cost Allocations-Contracts'!L35</f>
        <v>0</v>
      </c>
      <c r="L34" s="112">
        <f>-'Cost Allocations-Recycle'!J35</f>
        <v>0</v>
      </c>
      <c r="M34" s="112">
        <f>-'Cost Allocations-Recycle'!M35</f>
        <v>-2603.9899999999998</v>
      </c>
      <c r="N34" s="382">
        <f t="shared" si="9"/>
        <v>0</v>
      </c>
      <c r="O34" s="390"/>
      <c r="P34" s="390" t="s">
        <v>1122</v>
      </c>
      <c r="Q34" s="88">
        <f>ROUND(+'Container Count by County'!$K$22,3)</f>
        <v>0.82</v>
      </c>
      <c r="R34" s="112">
        <f t="shared" si="11"/>
        <v>0</v>
      </c>
      <c r="S34" s="88">
        <f>ROUND(+'Container Count by County'!$K$24,3)</f>
        <v>0.04</v>
      </c>
      <c r="T34" s="403">
        <f t="shared" si="12"/>
        <v>0</v>
      </c>
      <c r="U34" s="94">
        <f>ROUND(+'Container Count by County'!$K$26,3)</f>
        <v>0.13</v>
      </c>
      <c r="V34" s="403">
        <f t="shared" si="13"/>
        <v>0</v>
      </c>
      <c r="Y34" s="11">
        <f t="shared" si="7"/>
        <v>0.99</v>
      </c>
    </row>
    <row r="35" spans="1:25">
      <c r="A35">
        <v>4160</v>
      </c>
      <c r="B35" t="s">
        <v>33</v>
      </c>
      <c r="C35" s="395">
        <f>+'Monthy Income Statements'!O34</f>
        <v>31238.010000000002</v>
      </c>
      <c r="D35" s="112"/>
      <c r="E35" s="119">
        <f t="shared" si="8"/>
        <v>31238.010000000002</v>
      </c>
      <c r="F35" s="119"/>
      <c r="G35" s="115"/>
      <c r="H35" s="112"/>
      <c r="I35" s="119">
        <f t="shared" si="10"/>
        <v>31238.010000000002</v>
      </c>
      <c r="J35" s="119"/>
      <c r="K35" s="119">
        <f>-'Cost Allocations-Contracts'!I36-'Cost Allocations-Contracts'!L36</f>
        <v>-3904.2285828496333</v>
      </c>
      <c r="L35" s="112">
        <f>-'Cost Allocations-Recycle'!J36</f>
        <v>-922.55503559303475</v>
      </c>
      <c r="M35" s="112">
        <f>-'Cost Allocations-Recycle'!M36</f>
        <v>-2416.0526601686561</v>
      </c>
      <c r="N35" s="382">
        <f t="shared" si="9"/>
        <v>23995.173721388681</v>
      </c>
      <c r="O35" s="390"/>
      <c r="P35" s="390" t="s">
        <v>482</v>
      </c>
      <c r="Q35" s="26">
        <f>+'Hours &amp; Miles by County'!$D$68</f>
        <v>0.69084107470656952</v>
      </c>
      <c r="R35" s="112">
        <f t="shared" si="11"/>
        <v>16576.851601454993</v>
      </c>
      <c r="S35" s="26">
        <f>+'Hours &amp; Miles by County'!$E$68</f>
        <v>8.8571508038048613E-2</v>
      </c>
      <c r="T35" s="403">
        <f t="shared" si="12"/>
        <v>2125.2887221383503</v>
      </c>
      <c r="U35" s="26">
        <f>+'Hours &amp; Miles by County'!$F$68</f>
        <v>0.22058741725538189</v>
      </c>
      <c r="V35" s="403">
        <f t="shared" si="13"/>
        <v>5293.0333977953396</v>
      </c>
      <c r="Y35" s="11">
        <f t="shared" si="7"/>
        <v>1</v>
      </c>
    </row>
    <row r="36" spans="1:25">
      <c r="A36">
        <v>4162</v>
      </c>
      <c r="B36" t="s">
        <v>281</v>
      </c>
      <c r="C36" s="395">
        <f>+'Monthy Income Statements'!O35</f>
        <v>3764.16</v>
      </c>
      <c r="D36" s="112"/>
      <c r="E36" s="119">
        <f t="shared" si="8"/>
        <v>3764.16</v>
      </c>
      <c r="F36" s="119"/>
      <c r="G36" s="115"/>
      <c r="H36" s="112"/>
      <c r="I36" s="119">
        <f t="shared" si="10"/>
        <v>3764.16</v>
      </c>
      <c r="J36" s="119"/>
      <c r="K36" s="119">
        <f>-'Cost Allocations-Contracts'!I37-'Cost Allocations-Contracts'!L37</f>
        <v>0</v>
      </c>
      <c r="L36" s="112">
        <f>-'Cost Allocations-Recycle'!J37</f>
        <v>0</v>
      </c>
      <c r="M36" s="112">
        <f>-'Cost Allocations-Recycle'!M37</f>
        <v>0</v>
      </c>
      <c r="N36" s="382">
        <f t="shared" si="9"/>
        <v>3764.16</v>
      </c>
      <c r="O36" s="390"/>
      <c r="P36" s="390" t="s">
        <v>482</v>
      </c>
      <c r="Q36" s="26">
        <f>+'Hours &amp; Miles by County'!$D$68</f>
        <v>0.69084107470656952</v>
      </c>
      <c r="R36" s="112">
        <f t="shared" si="11"/>
        <v>2600.4363397674806</v>
      </c>
      <c r="S36" s="26">
        <f>+'Hours &amp; Miles by County'!$E$68</f>
        <v>8.8571508038048613E-2</v>
      </c>
      <c r="T36" s="403">
        <f t="shared" si="12"/>
        <v>333.39732769650107</v>
      </c>
      <c r="U36" s="26">
        <f>+'Hours &amp; Miles by County'!$F$68</f>
        <v>0.22058741725538189</v>
      </c>
      <c r="V36" s="403">
        <f t="shared" si="13"/>
        <v>830.3263325360183</v>
      </c>
      <c r="Y36" s="11">
        <f t="shared" si="7"/>
        <v>1</v>
      </c>
    </row>
    <row r="37" spans="1:25">
      <c r="A37">
        <v>4164</v>
      </c>
      <c r="B37" t="s">
        <v>1275</v>
      </c>
      <c r="C37" s="395">
        <f>+'Monthy Income Statements'!O36</f>
        <v>0</v>
      </c>
      <c r="D37" s="112"/>
      <c r="E37" s="119">
        <f t="shared" ref="E37" si="14">+C37+D37</f>
        <v>0</v>
      </c>
      <c r="F37" s="119"/>
      <c r="G37" s="115"/>
      <c r="H37" s="112"/>
      <c r="I37" s="119">
        <f t="shared" ref="I37" si="15">+E37+H37</f>
        <v>0</v>
      </c>
      <c r="J37" s="119"/>
      <c r="K37" s="119">
        <f>-'Cost Allocations-Contracts'!I38-'Cost Allocations-Contracts'!L38</f>
        <v>0</v>
      </c>
      <c r="L37" s="112">
        <f>-'Cost Allocations-Recycle'!J38</f>
        <v>0</v>
      </c>
      <c r="M37" s="112">
        <f>-'Cost Allocations-Recycle'!M38</f>
        <v>0</v>
      </c>
      <c r="N37" s="382">
        <f t="shared" ref="N37" si="16">I37+K37+L37+M37</f>
        <v>0</v>
      </c>
      <c r="O37" s="390"/>
      <c r="P37" s="390" t="s">
        <v>482</v>
      </c>
      <c r="Q37" s="26">
        <f>+'Hours &amp; Miles by County'!$D$68</f>
        <v>0.69084107470656952</v>
      </c>
      <c r="R37" s="112">
        <f t="shared" ref="R37" si="17">N37*Q37</f>
        <v>0</v>
      </c>
      <c r="S37" s="26">
        <f>+'Hours &amp; Miles by County'!$E$68</f>
        <v>8.8571508038048613E-2</v>
      </c>
      <c r="T37" s="403">
        <f t="shared" ref="T37" si="18">N37*S37</f>
        <v>0</v>
      </c>
      <c r="U37" s="26">
        <f>+'Hours &amp; Miles by County'!$F$68</f>
        <v>0.22058741725538189</v>
      </c>
      <c r="V37" s="403">
        <f t="shared" ref="V37" si="19">N37*U37</f>
        <v>0</v>
      </c>
      <c r="Y37" s="11">
        <f t="shared" ref="Y37" si="20">Q37+S37+U37</f>
        <v>1</v>
      </c>
    </row>
    <row r="38" spans="1:25">
      <c r="A38">
        <v>4180</v>
      </c>
      <c r="B38" t="s">
        <v>34</v>
      </c>
      <c r="C38" s="395">
        <f>+'Monthy Income Statements'!O37</f>
        <v>21283.934000000001</v>
      </c>
      <c r="D38" s="112"/>
      <c r="E38" s="119">
        <f t="shared" si="8"/>
        <v>21283.934000000001</v>
      </c>
      <c r="F38" s="119"/>
      <c r="G38" s="115"/>
      <c r="H38" s="112"/>
      <c r="I38" s="119">
        <f t="shared" si="10"/>
        <v>21283.934000000001</v>
      </c>
      <c r="J38" s="119"/>
      <c r="K38" s="119">
        <f>-'Cost Allocations-Contracts'!I39-'Cost Allocations-Contracts'!L39</f>
        <v>-2667.7522856295336</v>
      </c>
      <c r="L38" s="112">
        <f>-'Cost Allocations-Recycle'!J39</f>
        <v>-611.28799493483314</v>
      </c>
      <c r="M38" s="112">
        <f>-'Cost Allocations-Recycle'!M39</f>
        <v>0</v>
      </c>
      <c r="N38" s="382">
        <f t="shared" si="9"/>
        <v>18004.893719435637</v>
      </c>
      <c r="O38" s="390"/>
      <c r="P38" s="390" t="s">
        <v>484</v>
      </c>
      <c r="Q38" s="26">
        <f>+'Hours &amp; Miles by County'!$D$25</f>
        <v>0.77916197521708785</v>
      </c>
      <c r="R38" s="112">
        <f t="shared" si="11"/>
        <v>14028.728554009211</v>
      </c>
      <c r="S38" s="11">
        <f>+'Hours &amp; Miles by County'!$E$25</f>
        <v>7.6867423026312817E-2</v>
      </c>
      <c r="T38" s="403">
        <f t="shared" si="12"/>
        <v>1383.9897820756619</v>
      </c>
      <c r="U38" s="94">
        <f>'Hours &amp; Miles by County'!$F$25</f>
        <v>0.14397060175659929</v>
      </c>
      <c r="V38" s="403">
        <f t="shared" si="13"/>
        <v>2592.1753833507637</v>
      </c>
      <c r="Y38" s="11">
        <f t="shared" si="7"/>
        <v>0.99999999999999989</v>
      </c>
    </row>
    <row r="39" spans="1:25">
      <c r="A39" t="s">
        <v>16</v>
      </c>
      <c r="C39" s="112"/>
      <c r="D39" s="112"/>
      <c r="E39" s="119"/>
      <c r="F39" s="119"/>
      <c r="G39" s="115"/>
      <c r="H39" s="112"/>
      <c r="I39" s="119"/>
      <c r="J39" s="119"/>
      <c r="K39" s="119"/>
      <c r="L39" s="112"/>
      <c r="M39" s="112"/>
      <c r="N39" s="382"/>
      <c r="O39" s="390"/>
      <c r="P39" s="390"/>
      <c r="Q39" s="11"/>
      <c r="R39" s="112"/>
      <c r="S39" s="11"/>
      <c r="T39" s="403"/>
      <c r="U39" s="94"/>
      <c r="V39" s="403"/>
      <c r="Y39" s="11"/>
    </row>
    <row r="40" spans="1:25">
      <c r="A40">
        <v>4210</v>
      </c>
      <c r="B40" t="s">
        <v>35</v>
      </c>
      <c r="C40" s="112">
        <f>+'Monthy Income Statements'!O39</f>
        <v>0</v>
      </c>
      <c r="D40" s="112"/>
      <c r="E40" s="119">
        <f t="shared" ref="E40:E49" si="21">+C40+D40</f>
        <v>0</v>
      </c>
      <c r="F40" s="119"/>
      <c r="G40" s="115"/>
      <c r="H40" s="112"/>
      <c r="I40" s="119">
        <f t="shared" si="10"/>
        <v>0</v>
      </c>
      <c r="J40" s="119"/>
      <c r="K40" s="119">
        <f>-'Cost Allocations-Contracts'!I41-'Cost Allocations-Contracts'!L41</f>
        <v>0</v>
      </c>
      <c r="L40" s="112">
        <f>-'Cost Allocations-Recycle'!J41</f>
        <v>0</v>
      </c>
      <c r="M40" s="112">
        <f>-'Cost Allocations-Recycle'!M41</f>
        <v>0</v>
      </c>
      <c r="N40" s="382">
        <f t="shared" si="9"/>
        <v>0</v>
      </c>
      <c r="O40" s="390"/>
      <c r="P40" s="390" t="s">
        <v>484</v>
      </c>
      <c r="Q40" s="26">
        <f>+'Hours &amp; Miles by County'!$D$25</f>
        <v>0.77916197521708785</v>
      </c>
      <c r="R40" s="112">
        <f t="shared" si="11"/>
        <v>0</v>
      </c>
      <c r="S40" s="11">
        <f>+'Hours &amp; Miles by County'!$E$25</f>
        <v>7.6867423026312817E-2</v>
      </c>
      <c r="T40" s="403">
        <f t="shared" si="12"/>
        <v>0</v>
      </c>
      <c r="U40" s="94">
        <f>'Hours &amp; Miles by County'!$F$25</f>
        <v>0.14397060175659929</v>
      </c>
      <c r="V40" s="403">
        <f t="shared" si="13"/>
        <v>0</v>
      </c>
      <c r="Y40" s="11">
        <f t="shared" si="7"/>
        <v>0.99999999999999989</v>
      </c>
    </row>
    <row r="41" spans="1:25">
      <c r="A41">
        <v>4213</v>
      </c>
      <c r="B41" t="s">
        <v>36</v>
      </c>
      <c r="C41" s="395">
        <f>+'Monthy Income Statements'!O40</f>
        <v>332289.94000000006</v>
      </c>
      <c r="D41" s="112"/>
      <c r="E41" s="119">
        <f t="shared" si="21"/>
        <v>332289.94000000006</v>
      </c>
      <c r="F41" s="119"/>
      <c r="G41" s="115">
        <v>1</v>
      </c>
      <c r="H41" s="112">
        <f>+'Proforma AJEs'!H10</f>
        <v>11884.589999999997</v>
      </c>
      <c r="I41" s="119">
        <f t="shared" si="10"/>
        <v>344174.53</v>
      </c>
      <c r="J41" s="119"/>
      <c r="K41" s="119">
        <f>-'Cost Allocations-Contracts'!I42-'Cost Allocations-Contracts'!L42</f>
        <v>-43139.223653999798</v>
      </c>
      <c r="L41" s="112">
        <f>-'Cost Allocations-Recycle'!J42</f>
        <v>-7322.5543591552923</v>
      </c>
      <c r="M41" s="112">
        <f>-'Cost Allocations-Recycle'!M42</f>
        <v>0</v>
      </c>
      <c r="N41" s="382">
        <f t="shared" si="9"/>
        <v>293712.75198684493</v>
      </c>
      <c r="O41" s="390"/>
      <c r="P41" s="390" t="s">
        <v>484</v>
      </c>
      <c r="Q41" s="26">
        <f>+'Hours &amp; Miles by County'!$D$25</f>
        <v>0.77916197521708785</v>
      </c>
      <c r="R41" s="112">
        <f t="shared" si="11"/>
        <v>228849.80798451675</v>
      </c>
      <c r="S41" s="11">
        <f>+'Hours &amp; Miles by County'!$E$25</f>
        <v>7.6867423026312817E-2</v>
      </c>
      <c r="T41" s="403">
        <f t="shared" si="12"/>
        <v>22576.942355195311</v>
      </c>
      <c r="U41" s="94">
        <f>'Hours &amp; Miles by County'!$F$25</f>
        <v>0.14397060175659929</v>
      </c>
      <c r="V41" s="403">
        <f t="shared" si="13"/>
        <v>42286.001647132871</v>
      </c>
      <c r="Y41" s="11">
        <f t="shared" si="7"/>
        <v>0.99999999999999989</v>
      </c>
    </row>
    <row r="42" spans="1:25">
      <c r="A42">
        <v>4215</v>
      </c>
      <c r="B42" t="s">
        <v>37</v>
      </c>
      <c r="C42" s="395">
        <f>+'Monthy Income Statements'!O41</f>
        <v>42058.5</v>
      </c>
      <c r="D42" s="112"/>
      <c r="E42" s="119">
        <f t="shared" si="21"/>
        <v>42058.5</v>
      </c>
      <c r="F42" s="119"/>
      <c r="G42" s="115">
        <v>1</v>
      </c>
      <c r="H42" s="112">
        <f>+'Proforma AJEs'!H11</f>
        <v>-379.15999999999985</v>
      </c>
      <c r="I42" s="119">
        <f t="shared" si="10"/>
        <v>41679.339999999997</v>
      </c>
      <c r="J42" s="119"/>
      <c r="K42" s="119">
        <f>-'Cost Allocations-Contracts'!I43-'Cost Allocations-Contracts'!L43</f>
        <v>0</v>
      </c>
      <c r="L42" s="112">
        <f>-'Cost Allocations-Recycle'!J43</f>
        <v>0</v>
      </c>
      <c r="M42" s="112">
        <f>-'Cost Allocations-Recycle'!M43</f>
        <v>0</v>
      </c>
      <c r="N42" s="382">
        <f t="shared" si="9"/>
        <v>41679.339999999997</v>
      </c>
      <c r="O42" s="390"/>
      <c r="P42" s="442" t="s">
        <v>305</v>
      </c>
      <c r="Q42" s="26">
        <f>+'Drop Box Allocation'!$I$10</f>
        <v>0.43377433568657853</v>
      </c>
      <c r="R42" s="112">
        <f t="shared" si="11"/>
        <v>18079.428020355037</v>
      </c>
      <c r="S42" s="11">
        <f>+'Drop Box Allocation'!$I$11</f>
        <v>0.10870862785255932</v>
      </c>
      <c r="T42" s="403">
        <f t="shared" si="12"/>
        <v>4530.9038612002896</v>
      </c>
      <c r="U42" s="94">
        <f>'Drop Box Allocation'!$I$12</f>
        <v>0.45751703646086206</v>
      </c>
      <c r="V42" s="403">
        <f t="shared" si="13"/>
        <v>19069.008118444664</v>
      </c>
      <c r="Y42" s="11">
        <f t="shared" si="7"/>
        <v>0.99999999999999989</v>
      </c>
    </row>
    <row r="43" spans="1:25">
      <c r="A43">
        <v>4217</v>
      </c>
      <c r="B43" t="s">
        <v>284</v>
      </c>
      <c r="C43" s="395">
        <f>+'Monthy Income Statements'!O42</f>
        <v>9199</v>
      </c>
      <c r="D43" s="112"/>
      <c r="E43" s="119">
        <f t="shared" si="21"/>
        <v>9199</v>
      </c>
      <c r="F43" s="119"/>
      <c r="G43" s="115"/>
      <c r="H43" s="112"/>
      <c r="I43" s="119">
        <f t="shared" si="10"/>
        <v>9199</v>
      </c>
      <c r="J43" s="119"/>
      <c r="K43" s="119">
        <f>-'Cost Allocations-Contracts'!I44-'Cost Allocations-Contracts'!L44</f>
        <v>-1153.0130320600542</v>
      </c>
      <c r="L43" s="112">
        <f>-'Cost Allocations-Recycle'!J44</f>
        <v>0</v>
      </c>
      <c r="M43" s="112">
        <f>-'Cost Allocations-Recycle'!M44</f>
        <v>-407.32945597825619</v>
      </c>
      <c r="N43" s="382">
        <f t="shared" si="9"/>
        <v>7638.6575119616891</v>
      </c>
      <c r="O43" s="390"/>
      <c r="P43" s="390" t="s">
        <v>484</v>
      </c>
      <c r="Q43" s="26">
        <f>+'Hours &amp; Miles by County'!$D$25</f>
        <v>0.77916197521708785</v>
      </c>
      <c r="R43" s="112">
        <f t="shared" si="11"/>
        <v>5951.7514750269156</v>
      </c>
      <c r="S43" s="11">
        <f>+'Hours &amp; Miles by County'!$E$25</f>
        <v>7.6867423026312817E-2</v>
      </c>
      <c r="T43" s="403">
        <f t="shared" si="12"/>
        <v>587.16391832508134</v>
      </c>
      <c r="U43" s="94">
        <f>'Hours &amp; Miles by County'!$F$25</f>
        <v>0.14397060175659929</v>
      </c>
      <c r="V43" s="403">
        <f t="shared" si="13"/>
        <v>1099.7421186096919</v>
      </c>
      <c r="Y43" s="11">
        <f t="shared" si="7"/>
        <v>0.99999999999999989</v>
      </c>
    </row>
    <row r="44" spans="1:25">
      <c r="A44">
        <v>4222</v>
      </c>
      <c r="B44" t="s">
        <v>331</v>
      </c>
      <c r="C44" s="395">
        <f>+'Monthy Income Statements'!O43</f>
        <v>9409.880000000001</v>
      </c>
      <c r="D44" s="112"/>
      <c r="E44" s="119">
        <f t="shared" si="21"/>
        <v>9409.880000000001</v>
      </c>
      <c r="F44" s="119"/>
      <c r="G44" s="115"/>
      <c r="H44" s="112"/>
      <c r="I44" s="119">
        <f t="shared" si="10"/>
        <v>9409.880000000001</v>
      </c>
      <c r="J44" s="119"/>
      <c r="K44" s="119">
        <f>-'Cost Allocations-Contracts'!I45-'Cost Allocations-Contracts'!L45</f>
        <v>0</v>
      </c>
      <c r="L44" s="112">
        <f>-'Cost Allocations-Recycle'!J45</f>
        <v>0</v>
      </c>
      <c r="M44" s="112">
        <f>-'Cost Allocations-Recycle'!M45</f>
        <v>-9409.880000000001</v>
      </c>
      <c r="N44" s="382">
        <f t="shared" si="9"/>
        <v>0</v>
      </c>
      <c r="O44" s="390"/>
      <c r="P44" s="390" t="s">
        <v>484</v>
      </c>
      <c r="Q44" s="88">
        <f>+'Hours &amp; Miles by County'!$D$25</f>
        <v>0.77916197521708785</v>
      </c>
      <c r="R44" s="112">
        <f t="shared" si="11"/>
        <v>0</v>
      </c>
      <c r="S44" s="88">
        <f>+'Hours &amp; Miles by County'!$E$25</f>
        <v>7.6867423026312817E-2</v>
      </c>
      <c r="T44" s="403">
        <f t="shared" si="12"/>
        <v>0</v>
      </c>
      <c r="U44" s="94">
        <f>'Hours &amp; Miles by County'!$F$25</f>
        <v>0.14397060175659929</v>
      </c>
      <c r="V44" s="403">
        <f t="shared" si="13"/>
        <v>0</v>
      </c>
      <c r="Y44" s="11">
        <f t="shared" si="7"/>
        <v>0.99999999999999989</v>
      </c>
    </row>
    <row r="45" spans="1:25">
      <c r="A45">
        <v>4240</v>
      </c>
      <c r="B45" t="s">
        <v>38</v>
      </c>
      <c r="C45" s="395">
        <f>+'Monthy Income Statements'!O44</f>
        <v>111084.39</v>
      </c>
      <c r="D45" s="377">
        <f>-D46</f>
        <v>0</v>
      </c>
      <c r="E45" s="119">
        <f t="shared" si="21"/>
        <v>111084.39</v>
      </c>
      <c r="F45" s="119"/>
      <c r="G45" s="115">
        <v>10</v>
      </c>
      <c r="H45" s="112">
        <f>+'Proforma AJEs'!H65</f>
        <v>0</v>
      </c>
      <c r="I45" s="119">
        <f t="shared" si="10"/>
        <v>111084.39</v>
      </c>
      <c r="J45" s="119"/>
      <c r="K45" s="119">
        <f>-'Cost Allocations-Contracts'!I46-'Cost Allocations-Contracts'!L46</f>
        <v>-13923.442692514573</v>
      </c>
      <c r="L45" s="112">
        <f>-'Cost Allocations-Recycle'!J46</f>
        <v>-3597.290992117205</v>
      </c>
      <c r="M45" s="112">
        <f>-'Cost Allocations-Recycle'!M46</f>
        <v>0</v>
      </c>
      <c r="N45" s="382">
        <f t="shared" si="9"/>
        <v>93563.656315368222</v>
      </c>
      <c r="O45" s="390"/>
      <c r="P45" s="390" t="s">
        <v>484</v>
      </c>
      <c r="Q45" s="26">
        <f>+'Hours &amp; Miles by County'!$D$25</f>
        <v>0.77916197521708785</v>
      </c>
      <c r="R45" s="112">
        <f t="shared" si="11"/>
        <v>72901.243263215059</v>
      </c>
      <c r="S45" s="11">
        <f>+'Hours &amp; Miles by County'!$E$25</f>
        <v>7.6867423026312817E-2</v>
      </c>
      <c r="T45" s="403">
        <f t="shared" si="12"/>
        <v>7191.9971498819541</v>
      </c>
      <c r="U45" s="94">
        <f>'Hours &amp; Miles by County'!$F$25</f>
        <v>0.14397060175659929</v>
      </c>
      <c r="V45" s="403">
        <f t="shared" si="13"/>
        <v>13470.415902271205</v>
      </c>
      <c r="Y45" s="11">
        <f t="shared" si="7"/>
        <v>0.99999999999999989</v>
      </c>
    </row>
    <row r="46" spans="1:25">
      <c r="A46">
        <v>4242</v>
      </c>
      <c r="B46" t="s">
        <v>282</v>
      </c>
      <c r="C46" s="395">
        <f>+'Monthy Income Statements'!O45</f>
        <v>24776.99</v>
      </c>
      <c r="D46" s="377">
        <f>+'Restating AJEs'!I28</f>
        <v>0</v>
      </c>
      <c r="E46" s="119">
        <f t="shared" si="21"/>
        <v>24776.99</v>
      </c>
      <c r="F46" s="119"/>
      <c r="G46" s="115">
        <v>10</v>
      </c>
      <c r="H46" s="112">
        <f>+'Proforma AJEs'!H67</f>
        <v>0</v>
      </c>
      <c r="I46" s="119">
        <f t="shared" si="10"/>
        <v>24776.99</v>
      </c>
      <c r="J46" s="119"/>
      <c r="K46" s="119">
        <f>-'Cost Allocations-Contracts'!I47-'Cost Allocations-Contracts'!L47</f>
        <v>0</v>
      </c>
      <c r="L46" s="112">
        <f>-'Cost Allocations-Recycle'!J47</f>
        <v>0</v>
      </c>
      <c r="M46" s="112">
        <f>-'Cost Allocations-Recycle'!M47</f>
        <v>0</v>
      </c>
      <c r="N46" s="382">
        <f t="shared" si="9"/>
        <v>24776.99</v>
      </c>
      <c r="O46" s="390"/>
      <c r="P46" s="390" t="s">
        <v>484</v>
      </c>
      <c r="Q46" s="26">
        <f>+'Hours &amp; Miles by County'!$D$25</f>
        <v>0.77916197521708785</v>
      </c>
      <c r="R46" s="112">
        <f t="shared" si="11"/>
        <v>19305.288468334034</v>
      </c>
      <c r="S46" s="11">
        <f>+'Hours &amp; Miles by County'!$E$25</f>
        <v>7.6867423026312817E-2</v>
      </c>
      <c r="T46" s="403">
        <f t="shared" si="12"/>
        <v>1904.5433716487225</v>
      </c>
      <c r="U46" s="94">
        <f>'Hours &amp; Miles by County'!$F$25</f>
        <v>0.14397060175659929</v>
      </c>
      <c r="V46" s="403">
        <f t="shared" si="13"/>
        <v>3567.1581600172431</v>
      </c>
      <c r="Y46" s="11">
        <f t="shared" si="7"/>
        <v>0.99999999999999989</v>
      </c>
    </row>
    <row r="47" spans="1:25">
      <c r="A47">
        <v>4244</v>
      </c>
      <c r="B47" t="s">
        <v>332</v>
      </c>
      <c r="C47" s="395">
        <f>+'Monthy Income Statements'!O46</f>
        <v>3085.0899999999997</v>
      </c>
      <c r="D47" s="377">
        <f>+'Restating AJEs'!I29</f>
        <v>0</v>
      </c>
      <c r="E47" s="119">
        <f t="shared" si="21"/>
        <v>3085.0899999999997</v>
      </c>
      <c r="F47" s="119"/>
      <c r="G47" s="115">
        <v>10</v>
      </c>
      <c r="H47" s="112">
        <f>+'Proforma AJEs'!H68</f>
        <v>0</v>
      </c>
      <c r="I47" s="119">
        <f t="shared" si="10"/>
        <v>3085.0899999999997</v>
      </c>
      <c r="J47" s="119"/>
      <c r="K47" s="119">
        <f>-'Cost Allocations-Contracts'!I48-'Cost Allocations-Contracts'!L48</f>
        <v>0</v>
      </c>
      <c r="L47" s="112">
        <f>-'Cost Allocations-Recycle'!J48</f>
        <v>0</v>
      </c>
      <c r="M47" s="112">
        <f>-'Cost Allocations-Recycle'!M48</f>
        <v>-3085.0899999999997</v>
      </c>
      <c r="N47" s="382">
        <f t="shared" si="9"/>
        <v>0</v>
      </c>
      <c r="O47" s="390"/>
      <c r="P47" s="390" t="s">
        <v>1122</v>
      </c>
      <c r="Q47" s="88">
        <f>ROUND(+'Container Count by County'!$K$22,3)</f>
        <v>0.82</v>
      </c>
      <c r="R47" s="112">
        <f t="shared" si="11"/>
        <v>0</v>
      </c>
      <c r="S47" s="88">
        <f>ROUND(+'Container Count by County'!$K$24,3)</f>
        <v>0.04</v>
      </c>
      <c r="T47" s="403">
        <f t="shared" si="12"/>
        <v>0</v>
      </c>
      <c r="U47" s="94">
        <f>ROUND(+'Container Count by County'!$K$26,3)</f>
        <v>0.13</v>
      </c>
      <c r="V47" s="403">
        <f t="shared" si="13"/>
        <v>0</v>
      </c>
      <c r="Y47" s="11">
        <f t="shared" si="7"/>
        <v>0.99</v>
      </c>
    </row>
    <row r="48" spans="1:25">
      <c r="A48">
        <v>4280</v>
      </c>
      <c r="B48" t="s">
        <v>39</v>
      </c>
      <c r="C48" s="395">
        <f>+'Monthy Income Statements'!O47</f>
        <v>14224.23</v>
      </c>
      <c r="D48" s="112"/>
      <c r="E48" s="119">
        <f t="shared" si="21"/>
        <v>14224.23</v>
      </c>
      <c r="F48" s="119"/>
      <c r="G48" s="115"/>
      <c r="H48" s="112"/>
      <c r="I48" s="119">
        <f t="shared" si="10"/>
        <v>14224.23</v>
      </c>
      <c r="J48" s="119"/>
      <c r="K48" s="119">
        <f>-'Cost Allocations-Contracts'!I49-'Cost Allocations-Contracts'!L49</f>
        <v>-1782.881026309336</v>
      </c>
      <c r="L48" s="112">
        <f>-'Cost Allocations-Recycle'!J49</f>
        <v>-302.6304630738581</v>
      </c>
      <c r="M48" s="112">
        <f>-'Cost Allocations-Recycle'!M49</f>
        <v>0</v>
      </c>
      <c r="N48" s="382">
        <f t="shared" si="9"/>
        <v>12138.718510616805</v>
      </c>
      <c r="O48" s="390"/>
      <c r="P48" s="390" t="s">
        <v>484</v>
      </c>
      <c r="Q48" s="26">
        <f>+'Hours &amp; Miles by County'!$D$25</f>
        <v>0.77916197521708785</v>
      </c>
      <c r="R48" s="112">
        <f t="shared" si="11"/>
        <v>9458.0278913364164</v>
      </c>
      <c r="S48" s="11">
        <f>+'Hours &amp; Miles by County'!$E$25</f>
        <v>7.6867423026312817E-2</v>
      </c>
      <c r="T48" s="403">
        <f t="shared" si="12"/>
        <v>933.07201075291584</v>
      </c>
      <c r="U48" s="94">
        <f>'Hours &amp; Miles by County'!$F$25</f>
        <v>0.14397060175659929</v>
      </c>
      <c r="V48" s="403">
        <f t="shared" si="13"/>
        <v>1747.6186085274721</v>
      </c>
      <c r="Y48" s="11">
        <f t="shared" si="7"/>
        <v>0.99999999999999989</v>
      </c>
    </row>
    <row r="49" spans="1:25">
      <c r="A49">
        <v>4282</v>
      </c>
      <c r="B49" t="s">
        <v>334</v>
      </c>
      <c r="C49" s="395">
        <f>+'Monthy Income Statements'!O48</f>
        <v>0</v>
      </c>
      <c r="D49" s="112"/>
      <c r="E49" s="119">
        <f t="shared" si="21"/>
        <v>0</v>
      </c>
      <c r="F49" s="119"/>
      <c r="G49" s="115"/>
      <c r="H49" s="112"/>
      <c r="I49" s="119">
        <f t="shared" si="10"/>
        <v>0</v>
      </c>
      <c r="J49" s="119"/>
      <c r="K49" s="119">
        <f>-'Cost Allocations-Contracts'!I50-'Cost Allocations-Contracts'!L50</f>
        <v>0</v>
      </c>
      <c r="L49" s="112">
        <f>-'Cost Allocations-Recycle'!J50</f>
        <v>0</v>
      </c>
      <c r="M49" s="112">
        <f>-'Cost Allocations-Recycle'!M50</f>
        <v>0</v>
      </c>
      <c r="N49" s="382">
        <f t="shared" si="9"/>
        <v>0</v>
      </c>
      <c r="O49" s="390"/>
      <c r="P49" s="390" t="s">
        <v>484</v>
      </c>
      <c r="Q49" s="88">
        <f>+'Hours &amp; Miles by County'!$D$25</f>
        <v>0.77916197521708785</v>
      </c>
      <c r="R49" s="112">
        <f t="shared" si="11"/>
        <v>0</v>
      </c>
      <c r="S49" s="88">
        <f>+'Hours &amp; Miles by County'!$E$25</f>
        <v>7.6867423026312817E-2</v>
      </c>
      <c r="T49" s="403">
        <f t="shared" si="12"/>
        <v>0</v>
      </c>
      <c r="U49" s="94">
        <f>'Hours &amp; Miles by County'!$F$25</f>
        <v>0.14397060175659929</v>
      </c>
      <c r="V49" s="403">
        <f t="shared" si="13"/>
        <v>0</v>
      </c>
      <c r="Y49" s="11">
        <f t="shared" si="7"/>
        <v>0.99999999999999989</v>
      </c>
    </row>
    <row r="50" spans="1:25">
      <c r="A50" t="s">
        <v>17</v>
      </c>
      <c r="C50" s="112"/>
      <c r="D50" s="112"/>
      <c r="E50" s="119"/>
      <c r="F50" s="119"/>
      <c r="G50" s="115"/>
      <c r="H50" s="112"/>
      <c r="I50" s="119"/>
      <c r="J50" s="119"/>
      <c r="K50" s="119"/>
      <c r="L50" s="112"/>
      <c r="M50" s="112"/>
      <c r="N50" s="382"/>
      <c r="O50" s="390"/>
      <c r="P50" s="390"/>
      <c r="Q50" s="11"/>
      <c r="R50" s="112"/>
      <c r="S50" s="11"/>
      <c r="T50" s="403"/>
      <c r="U50" s="94"/>
      <c r="V50" s="403"/>
      <c r="Y50" s="11"/>
    </row>
    <row r="51" spans="1:25">
      <c r="A51">
        <v>4360</v>
      </c>
      <c r="B51" t="s">
        <v>40</v>
      </c>
      <c r="C51" s="395">
        <f>+'Monthy Income Statements'!O50</f>
        <v>425876.56999999995</v>
      </c>
      <c r="D51" s="112"/>
      <c r="E51" s="119">
        <f>+C51+D51</f>
        <v>425876.56999999995</v>
      </c>
      <c r="F51" s="119"/>
      <c r="G51" s="115">
        <v>8</v>
      </c>
      <c r="H51" s="112">
        <f>+'Proforma AJEs'!H47</f>
        <v>23110.190000000061</v>
      </c>
      <c r="I51" s="119">
        <f t="shared" si="10"/>
        <v>448986.76</v>
      </c>
      <c r="J51" s="119"/>
      <c r="K51" s="119">
        <f>-'Cost Allocations-Contracts'!I52-'Cost Allocations-Contracts'!L52</f>
        <v>-1342.6410353677945</v>
      </c>
      <c r="L51" s="112">
        <f>-'Cost Allocations-Recycle'!J52</f>
        <v>0</v>
      </c>
      <c r="M51" s="112">
        <f>-'Cost Allocations-Recycle'!M52</f>
        <v>0</v>
      </c>
      <c r="N51" s="382">
        <f t="shared" si="9"/>
        <v>447644.11896463222</v>
      </c>
      <c r="O51" s="390"/>
      <c r="P51" s="390" t="s">
        <v>1123</v>
      </c>
      <c r="Q51" s="26">
        <f>+'Monthly Data-Disposal Fees'!$L$52</f>
        <v>0.98917764659555496</v>
      </c>
      <c r="R51" s="112">
        <f t="shared" si="11"/>
        <v>442799.55610977556</v>
      </c>
      <c r="S51" s="26">
        <f>+'Monthly Data-Disposal Fees'!$N$52</f>
        <v>6.1616184996825252E-4</v>
      </c>
      <c r="T51" s="403">
        <f t="shared" si="12"/>
        <v>275.82122846865627</v>
      </c>
      <c r="U51" s="26">
        <f>+'Monthly Data-Disposal Fees'!$M$52</f>
        <v>1.0206191554476787E-2</v>
      </c>
      <c r="V51" s="403">
        <f t="shared" si="13"/>
        <v>4568.7416263880314</v>
      </c>
      <c r="Y51" s="11">
        <f t="shared" si="7"/>
        <v>1</v>
      </c>
    </row>
    <row r="52" spans="1:25">
      <c r="A52">
        <v>4361</v>
      </c>
      <c r="B52" t="s">
        <v>41</v>
      </c>
      <c r="C52" s="395">
        <f>+'Monthy Income Statements'!O51</f>
        <v>255383.11</v>
      </c>
      <c r="D52" s="112"/>
      <c r="E52" s="119">
        <f>+C52+D52</f>
        <v>255383.11</v>
      </c>
      <c r="F52" s="119"/>
      <c r="G52" s="115"/>
      <c r="H52" s="112"/>
      <c r="I52" s="119">
        <f t="shared" si="10"/>
        <v>255383.11</v>
      </c>
      <c r="J52" s="119"/>
      <c r="K52" s="119">
        <f>-'Cost Allocations-Contracts'!I53-'Cost Allocations-Contracts'!L53</f>
        <v>0</v>
      </c>
      <c r="L52" s="112">
        <f>-'Cost Allocations-Recycle'!J53</f>
        <v>0</v>
      </c>
      <c r="M52" s="112">
        <f>-'Cost Allocations-Recycle'!M53</f>
        <v>0</v>
      </c>
      <c r="N52" s="382">
        <f t="shared" si="9"/>
        <v>255383.11</v>
      </c>
      <c r="O52" s="390"/>
      <c r="P52" s="390" t="s">
        <v>1123</v>
      </c>
      <c r="Q52" s="26">
        <f>+'Drop Box Allocation'!$D$20</f>
        <v>1</v>
      </c>
      <c r="R52" s="419">
        <f t="shared" si="11"/>
        <v>255383.11</v>
      </c>
      <c r="S52" s="26">
        <f>+'Drop Box Allocation'!$D$21</f>
        <v>0</v>
      </c>
      <c r="T52" s="403">
        <f t="shared" si="12"/>
        <v>0</v>
      </c>
      <c r="U52" s="26">
        <f>+'Drop Box Allocation'!$D$22</f>
        <v>0</v>
      </c>
      <c r="V52" s="403">
        <f t="shared" si="13"/>
        <v>0</v>
      </c>
      <c r="Y52" s="11">
        <f t="shared" si="7"/>
        <v>1</v>
      </c>
    </row>
    <row r="53" spans="1:25">
      <c r="A53">
        <v>4362</v>
      </c>
      <c r="B53" t="s">
        <v>42</v>
      </c>
      <c r="C53" s="395">
        <f>+'Monthy Income Statements'!O52</f>
        <v>250601.41000000003</v>
      </c>
      <c r="D53" s="112"/>
      <c r="E53" s="119">
        <f>+C53+D53</f>
        <v>250601.41000000003</v>
      </c>
      <c r="F53" s="119"/>
      <c r="G53" s="115">
        <v>8</v>
      </c>
      <c r="H53" s="112">
        <f>'Proforma AJEs'!H48</f>
        <v>0</v>
      </c>
      <c r="I53" s="119">
        <f t="shared" si="10"/>
        <v>250601.41000000003</v>
      </c>
      <c r="J53" s="119"/>
      <c r="K53" s="119">
        <f>-'Cost Allocations-Contracts'!I54-'Cost Allocations-Contracts'!L54</f>
        <v>-130291.40289114094</v>
      </c>
      <c r="L53" s="112">
        <f>-'Cost Allocations-Recycle'!J54</f>
        <v>0</v>
      </c>
      <c r="M53" s="112">
        <f>-'Cost Allocations-Recycle'!M54</f>
        <v>0</v>
      </c>
      <c r="N53" s="382">
        <f t="shared" si="9"/>
        <v>120310.00710885909</v>
      </c>
      <c r="O53" s="390"/>
      <c r="P53" s="390" t="s">
        <v>1123</v>
      </c>
      <c r="Q53" s="26">
        <f>+'Monthly Data-Disposal Fees'!$L$29</f>
        <v>0</v>
      </c>
      <c r="R53" s="112">
        <f t="shared" si="11"/>
        <v>0</v>
      </c>
      <c r="S53" s="26">
        <f>+'Monthly Data-Disposal Fees'!$N$29</f>
        <v>0.28128706299200523</v>
      </c>
      <c r="T53" s="403">
        <f t="shared" si="12"/>
        <v>33841.648548198245</v>
      </c>
      <c r="U53" s="26">
        <f>+'Monthly Data-Disposal Fees'!$M$29</f>
        <v>0.71871293700799477</v>
      </c>
      <c r="V53" s="403">
        <f t="shared" si="13"/>
        <v>86468.358560660854</v>
      </c>
      <c r="Y53" s="11">
        <f t="shared" si="7"/>
        <v>1</v>
      </c>
    </row>
    <row r="54" spans="1:25">
      <c r="A54">
        <v>4363</v>
      </c>
      <c r="B54" t="s">
        <v>43</v>
      </c>
      <c r="C54" s="395">
        <f>+'Monthy Income Statements'!O53</f>
        <v>110547.86</v>
      </c>
      <c r="D54" s="112"/>
      <c r="E54" s="119">
        <f>+C54+D54</f>
        <v>110547.86</v>
      </c>
      <c r="F54" s="119"/>
      <c r="G54" s="115"/>
      <c r="H54" s="112"/>
      <c r="I54" s="119">
        <f t="shared" si="10"/>
        <v>110547.86</v>
      </c>
      <c r="J54" s="119"/>
      <c r="K54" s="119">
        <f>-'Cost Allocations-Contracts'!I55-'Cost Allocations-Contracts'!L55</f>
        <v>0</v>
      </c>
      <c r="L54" s="112">
        <f>-'Cost Allocations-Recycle'!J55</f>
        <v>0</v>
      </c>
      <c r="M54" s="112">
        <f>-'Cost Allocations-Recycle'!M55</f>
        <v>0</v>
      </c>
      <c r="N54" s="382">
        <f t="shared" si="9"/>
        <v>110547.86</v>
      </c>
      <c r="O54" s="390"/>
      <c r="P54" s="390" t="s">
        <v>1123</v>
      </c>
      <c r="Q54" s="26">
        <f>+'Drop Box Allocation'!$D$27</f>
        <v>0</v>
      </c>
      <c r="R54" s="112">
        <f t="shared" si="11"/>
        <v>0</v>
      </c>
      <c r="S54" s="26">
        <f>+'Drop Box Allocation'!$D$28</f>
        <v>0.13882842173214632</v>
      </c>
      <c r="T54" s="403">
        <f t="shared" si="12"/>
        <v>15347.184929666269</v>
      </c>
      <c r="U54" s="26">
        <f>+'Drop Box Allocation'!$D$29</f>
        <v>0.86117157826785362</v>
      </c>
      <c r="V54" s="403">
        <f t="shared" si="13"/>
        <v>95200.675070333731</v>
      </c>
      <c r="Y54" s="11">
        <f t="shared" si="7"/>
        <v>1</v>
      </c>
    </row>
    <row r="55" spans="1:25">
      <c r="A55">
        <v>4380</v>
      </c>
      <c r="B55" t="s">
        <v>335</v>
      </c>
      <c r="C55" s="395">
        <f>+'Monthy Income Statements'!O54</f>
        <v>10439.240000000002</v>
      </c>
      <c r="D55" s="112">
        <f>-'Restating AJEs'!I39</f>
        <v>0</v>
      </c>
      <c r="E55" s="119">
        <f>+C55+D55</f>
        <v>10439.240000000002</v>
      </c>
      <c r="F55" s="119"/>
      <c r="G55" s="115">
        <v>12</v>
      </c>
      <c r="H55" s="112">
        <f>'Proforma AJEs'!I90</f>
        <v>804.44999999999982</v>
      </c>
      <c r="I55" s="119">
        <f t="shared" si="10"/>
        <v>11243.690000000002</v>
      </c>
      <c r="J55" s="119"/>
      <c r="K55" s="119">
        <f>-'Cost Allocations-Contracts'!I56-'Cost Allocations-Contracts'!L56</f>
        <v>0</v>
      </c>
      <c r="L55" s="112">
        <f>-'Cost Allocations-Recycle'!J56</f>
        <v>0</v>
      </c>
      <c r="M55" s="112">
        <f>-'Cost Allocations-Recycle'!M56</f>
        <v>-11243.690000000002</v>
      </c>
      <c r="N55" s="382">
        <f t="shared" si="9"/>
        <v>0</v>
      </c>
      <c r="O55" s="390"/>
      <c r="P55" s="442" t="s">
        <v>1123</v>
      </c>
      <c r="Q55" s="400">
        <v>1</v>
      </c>
      <c r="R55" s="402">
        <f t="shared" si="11"/>
        <v>0</v>
      </c>
      <c r="S55" s="400">
        <v>0</v>
      </c>
      <c r="T55" s="404">
        <f t="shared" si="12"/>
        <v>0</v>
      </c>
      <c r="U55" s="401">
        <v>0</v>
      </c>
      <c r="V55" s="403">
        <f t="shared" si="13"/>
        <v>0</v>
      </c>
      <c r="Y55" s="11">
        <f t="shared" si="7"/>
        <v>1</v>
      </c>
    </row>
    <row r="56" spans="1:25">
      <c r="A56" t="s">
        <v>14</v>
      </c>
      <c r="C56" s="112"/>
      <c r="D56" s="112"/>
      <c r="E56" s="119"/>
      <c r="F56" s="119"/>
      <c r="G56" s="115"/>
      <c r="H56" s="112"/>
      <c r="I56" s="119"/>
      <c r="J56" s="119"/>
      <c r="K56" s="119"/>
      <c r="L56" s="112"/>
      <c r="M56" s="112"/>
      <c r="N56" s="382"/>
      <c r="O56" s="390"/>
      <c r="P56" s="390"/>
      <c r="Q56" s="11"/>
      <c r="R56" s="112"/>
      <c r="S56" s="11"/>
      <c r="T56" s="403"/>
      <c r="U56" s="94"/>
      <c r="V56" s="403"/>
      <c r="Y56" s="11"/>
    </row>
    <row r="57" spans="1:25">
      <c r="A57">
        <v>4430</v>
      </c>
      <c r="B57" t="s">
        <v>44</v>
      </c>
      <c r="C57" s="112">
        <f>+'Monthy Income Statements'!O56</f>
        <v>0</v>
      </c>
      <c r="D57" s="112"/>
      <c r="E57" s="119">
        <f>+C57+D57</f>
        <v>0</v>
      </c>
      <c r="F57" s="119"/>
      <c r="G57" s="115"/>
      <c r="H57" s="112"/>
      <c r="I57" s="119">
        <f t="shared" si="10"/>
        <v>0</v>
      </c>
      <c r="J57" s="119"/>
      <c r="K57" s="119">
        <f>-'Cost Allocations-Contracts'!I58-'Cost Allocations-Contracts'!L58</f>
        <v>0</v>
      </c>
      <c r="L57" s="112">
        <f>-'Cost Allocations-Recycle'!J58</f>
        <v>0</v>
      </c>
      <c r="M57" s="112">
        <f>-'Cost Allocations-Recycle'!M58</f>
        <v>0</v>
      </c>
      <c r="N57" s="382">
        <f t="shared" si="9"/>
        <v>0</v>
      </c>
      <c r="O57" s="390"/>
      <c r="P57" s="442" t="s">
        <v>1121</v>
      </c>
      <c r="Q57" s="11">
        <v>1</v>
      </c>
      <c r="R57" s="112">
        <f t="shared" si="11"/>
        <v>0</v>
      </c>
      <c r="S57" s="11">
        <v>0</v>
      </c>
      <c r="T57" s="403">
        <f t="shared" si="12"/>
        <v>0</v>
      </c>
      <c r="U57" s="94">
        <v>0</v>
      </c>
      <c r="V57" s="403">
        <f t="shared" si="13"/>
        <v>0</v>
      </c>
      <c r="Y57" s="11">
        <f t="shared" si="7"/>
        <v>1</v>
      </c>
    </row>
    <row r="58" spans="1:25">
      <c r="A58">
        <v>4450</v>
      </c>
      <c r="B58" t="s">
        <v>45</v>
      </c>
      <c r="C58" s="395">
        <f>+'Monthy Income Statements'!O57</f>
        <v>4734.32</v>
      </c>
      <c r="D58" s="112"/>
      <c r="E58" s="119">
        <f>+C58+D58</f>
        <v>4734.32</v>
      </c>
      <c r="F58" s="119"/>
      <c r="G58" s="115">
        <v>5</v>
      </c>
      <c r="H58" s="626">
        <f>+'Proforma AJEs'!H33</f>
        <v>-1000</v>
      </c>
      <c r="I58" s="119">
        <f t="shared" si="10"/>
        <v>3734.3199999999997</v>
      </c>
      <c r="J58" s="119"/>
      <c r="K58" s="119">
        <f>-'Cost Allocations-Contracts'!I59-'Cost Allocations-Contracts'!L59</f>
        <v>0</v>
      </c>
      <c r="L58" s="112">
        <f>-'Cost Allocations-Recycle'!J59</f>
        <v>0</v>
      </c>
      <c r="M58" s="112">
        <f>-'Cost Allocations-Recycle'!M59</f>
        <v>0</v>
      </c>
      <c r="N58" s="382">
        <f t="shared" ref="N58:N91" si="22">I58+K58+L58+M58</f>
        <v>3734.3199999999997</v>
      </c>
      <c r="O58" s="390"/>
      <c r="P58" s="442" t="s">
        <v>1121</v>
      </c>
      <c r="Q58" s="15">
        <v>1</v>
      </c>
      <c r="R58" s="112">
        <f t="shared" si="11"/>
        <v>3734.3199999999997</v>
      </c>
      <c r="S58" s="15">
        <v>0</v>
      </c>
      <c r="T58" s="403">
        <f t="shared" si="12"/>
        <v>0</v>
      </c>
      <c r="U58" s="94">
        <v>0</v>
      </c>
      <c r="V58" s="403">
        <f t="shared" si="13"/>
        <v>0</v>
      </c>
      <c r="Y58" s="11">
        <f t="shared" si="7"/>
        <v>1</v>
      </c>
    </row>
    <row r="59" spans="1:25">
      <c r="A59" t="s">
        <v>15</v>
      </c>
      <c r="C59" s="112"/>
      <c r="D59" s="112"/>
      <c r="E59" s="119"/>
      <c r="F59" s="119"/>
      <c r="G59" s="115"/>
      <c r="H59" s="112"/>
      <c r="I59" s="119"/>
      <c r="J59" s="119"/>
      <c r="K59" s="119"/>
      <c r="L59" s="112"/>
      <c r="M59" s="112"/>
      <c r="N59" s="382"/>
      <c r="O59" s="390"/>
      <c r="P59" s="390"/>
      <c r="Q59" s="11"/>
      <c r="R59" s="112"/>
      <c r="S59" s="11"/>
      <c r="T59" s="403"/>
      <c r="U59" s="94"/>
      <c r="V59" s="403"/>
      <c r="Y59" s="11"/>
    </row>
    <row r="60" spans="1:25">
      <c r="A60">
        <v>4530</v>
      </c>
      <c r="B60" t="s">
        <v>46</v>
      </c>
      <c r="C60" s="395">
        <f>+'Monthy Income Statements'!O59</f>
        <v>74682.400000000009</v>
      </c>
      <c r="D60" s="112"/>
      <c r="E60" s="119">
        <f>+C60+D60</f>
        <v>74682.400000000009</v>
      </c>
      <c r="F60" s="119"/>
      <c r="G60" s="115"/>
      <c r="H60" s="112"/>
      <c r="I60" s="119">
        <f t="shared" si="10"/>
        <v>74682.400000000009</v>
      </c>
      <c r="J60" s="119"/>
      <c r="K60" s="119">
        <f>-'Cost Allocations-Contracts'!I61-'Cost Allocations-Contracts'!L61</f>
        <v>-9360.7762219286669</v>
      </c>
      <c r="L60" s="112">
        <f>-'Cost Allocations-Recycle'!J61</f>
        <v>-2144.9255834434171</v>
      </c>
      <c r="M60" s="112">
        <f>-'Cost Allocations-Recycle'!M61</f>
        <v>0</v>
      </c>
      <c r="N60" s="382">
        <f t="shared" si="22"/>
        <v>63176.698194627927</v>
      </c>
      <c r="O60" s="390"/>
      <c r="P60" s="390" t="s">
        <v>484</v>
      </c>
      <c r="Q60" s="26">
        <f>+'Hours &amp; Miles by County'!$D$25</f>
        <v>0.77916197521708785</v>
      </c>
      <c r="R60" s="112">
        <f t="shared" si="11"/>
        <v>49224.880953020125</v>
      </c>
      <c r="S60" s="11">
        <f>+'Hours &amp; Miles by County'!$E$25</f>
        <v>7.6867423026312817E-2</v>
      </c>
      <c r="T60" s="403">
        <f t="shared" si="12"/>
        <v>4856.229985532158</v>
      </c>
      <c r="U60" s="94">
        <f>'Hours &amp; Miles by County'!$F$25</f>
        <v>0.14397060175659929</v>
      </c>
      <c r="V60" s="403">
        <f t="shared" si="13"/>
        <v>9095.5872560756416</v>
      </c>
      <c r="Y60" s="11">
        <f t="shared" si="7"/>
        <v>0.99999999999999989</v>
      </c>
    </row>
    <row r="61" spans="1:25">
      <c r="A61">
        <v>4540</v>
      </c>
      <c r="B61" t="s">
        <v>47</v>
      </c>
      <c r="C61" s="395">
        <f>+'Monthy Income Statements'!O60</f>
        <v>20751.190000000002</v>
      </c>
      <c r="D61" s="112"/>
      <c r="E61" s="119">
        <f>+C61+D61</f>
        <v>20751.190000000002</v>
      </c>
      <c r="F61" s="119"/>
      <c r="G61" s="115">
        <v>2</v>
      </c>
      <c r="H61" s="112">
        <f>+'Proforma AJEs'!H19</f>
        <v>-303.27364999999867</v>
      </c>
      <c r="I61" s="119">
        <f t="shared" si="10"/>
        <v>20447.916350000003</v>
      </c>
      <c r="J61" s="119"/>
      <c r="K61" s="119">
        <f>-'Cost Allocations-Contracts'!I62-'Cost Allocations-Contracts'!L62</f>
        <v>-2562.9648907515884</v>
      </c>
      <c r="L61" s="112">
        <f>-'Cost Allocations-Recycle'!J62</f>
        <v>-587.27704127379332</v>
      </c>
      <c r="M61" s="112">
        <f>-'Cost Allocations-Recycle'!M62</f>
        <v>0</v>
      </c>
      <c r="N61" s="382">
        <f t="shared" si="22"/>
        <v>17297.674417974624</v>
      </c>
      <c r="O61" s="390"/>
      <c r="P61" s="390" t="s">
        <v>484</v>
      </c>
      <c r="Q61" s="26">
        <f>+'Hours &amp; Miles by County'!$D$25</f>
        <v>0.77916197521708785</v>
      </c>
      <c r="R61" s="112">
        <f t="shared" si="11"/>
        <v>13477.690166171198</v>
      </c>
      <c r="S61" s="11">
        <f>+'Hours &amp; Miles by County'!$E$25</f>
        <v>7.6867423026312817E-2</v>
      </c>
      <c r="T61" s="403">
        <f t="shared" si="12"/>
        <v>1329.6276568578849</v>
      </c>
      <c r="U61" s="94">
        <f>'Hours &amp; Miles by County'!$F$25</f>
        <v>0.14397060175659929</v>
      </c>
      <c r="V61" s="403">
        <f t="shared" si="13"/>
        <v>2490.3565949455401</v>
      </c>
      <c r="Y61" s="11">
        <f t="shared" si="7"/>
        <v>0.99999999999999989</v>
      </c>
    </row>
    <row r="62" spans="1:25">
      <c r="A62">
        <v>4580</v>
      </c>
      <c r="B62" t="s">
        <v>48</v>
      </c>
      <c r="C62" s="112">
        <f>+'Monthy Income Statements'!O61</f>
        <v>0</v>
      </c>
      <c r="D62" s="112"/>
      <c r="E62" s="119">
        <f>+C62+D62</f>
        <v>0</v>
      </c>
      <c r="F62" s="119"/>
      <c r="G62" s="115"/>
      <c r="H62" s="112"/>
      <c r="I62" s="119">
        <f t="shared" si="10"/>
        <v>0</v>
      </c>
      <c r="J62" s="119"/>
      <c r="K62" s="119">
        <f>-'Cost Allocations-Contracts'!I63-'Cost Allocations-Contracts'!L63</f>
        <v>0</v>
      </c>
      <c r="L62" s="112">
        <f>-'Cost Allocations-Recycle'!J63</f>
        <v>0</v>
      </c>
      <c r="M62" s="112">
        <f>-'Cost Allocations-Recycle'!M63</f>
        <v>0</v>
      </c>
      <c r="N62" s="382">
        <f t="shared" si="22"/>
        <v>0</v>
      </c>
      <c r="O62" s="390"/>
      <c r="P62" s="390" t="s">
        <v>484</v>
      </c>
      <c r="Q62" s="26">
        <f>+'Hours &amp; Miles by County'!$D$25</f>
        <v>0.77916197521708785</v>
      </c>
      <c r="R62" s="112">
        <f t="shared" si="11"/>
        <v>0</v>
      </c>
      <c r="S62" s="11">
        <f>+'Hours &amp; Miles by County'!$E$25</f>
        <v>7.6867423026312817E-2</v>
      </c>
      <c r="T62" s="403">
        <f t="shared" si="12"/>
        <v>0</v>
      </c>
      <c r="U62" s="94">
        <f>'Hours &amp; Miles by County'!$F$25</f>
        <v>0.14397060175659929</v>
      </c>
      <c r="V62" s="403">
        <f t="shared" si="13"/>
        <v>0</v>
      </c>
      <c r="Y62" s="11">
        <f t="shared" si="7"/>
        <v>0.99999999999999989</v>
      </c>
    </row>
    <row r="63" spans="1:25">
      <c r="A63" t="s">
        <v>18</v>
      </c>
      <c r="C63" s="112"/>
      <c r="D63" s="112"/>
      <c r="E63" s="119"/>
      <c r="F63" s="119"/>
      <c r="G63" s="115"/>
      <c r="H63" s="112"/>
      <c r="I63" s="119"/>
      <c r="J63" s="119"/>
      <c r="K63" s="119"/>
      <c r="L63" s="112"/>
      <c r="M63" s="112"/>
      <c r="N63" s="382"/>
      <c r="O63" s="390"/>
      <c r="P63" s="390"/>
      <c r="Q63" s="11"/>
      <c r="R63" s="112"/>
      <c r="S63" s="11"/>
      <c r="T63" s="403"/>
      <c r="U63" s="94"/>
      <c r="V63" s="403"/>
      <c r="Y63" s="11"/>
    </row>
    <row r="64" spans="1:25">
      <c r="A64">
        <v>4611</v>
      </c>
      <c r="B64" t="s">
        <v>49</v>
      </c>
      <c r="C64" s="395">
        <f>+'Monthy Income Statements'!O63</f>
        <v>75800</v>
      </c>
      <c r="D64" s="112"/>
      <c r="E64" s="119">
        <f t="shared" ref="E64:E83" si="23">+C64+D64</f>
        <v>75800</v>
      </c>
      <c r="F64" s="119"/>
      <c r="G64" s="115">
        <v>1</v>
      </c>
      <c r="H64" s="112">
        <f>+'Proforma AJEs'!H13</f>
        <v>1000</v>
      </c>
      <c r="I64" s="119">
        <f t="shared" si="10"/>
        <v>76800</v>
      </c>
      <c r="J64" s="119"/>
      <c r="K64" s="119">
        <f>-'Cost Allocations-Contracts'!I65-'Cost Allocations-Contracts'!L65</f>
        <v>-10685.27314868633</v>
      </c>
      <c r="L64" s="112">
        <f>-'Cost Allocations-Recycle'!J65</f>
        <v>-1528.6787451417767</v>
      </c>
      <c r="M64" s="112">
        <f>-'Cost Allocations-Recycle'!M65</f>
        <v>-3269.6796482145191</v>
      </c>
      <c r="N64" s="382">
        <f t="shared" si="22"/>
        <v>61316.368457957367</v>
      </c>
      <c r="O64" s="390"/>
      <c r="P64" s="390" t="s">
        <v>1124</v>
      </c>
      <c r="Q64" s="26">
        <f>+'Overhead Allocation'!$E$20</f>
        <v>0.74972468746804022</v>
      </c>
      <c r="R64" s="112">
        <f t="shared" si="11"/>
        <v>45970.395178817285</v>
      </c>
      <c r="S64" s="26">
        <f>+'Overhead Allocation'!$F$20</f>
        <v>7.6836283747601458E-2</v>
      </c>
      <c r="T64" s="403">
        <f t="shared" si="12"/>
        <v>4711.3218852080927</v>
      </c>
      <c r="U64" s="26">
        <f>+'Overhead Allocation'!$G$20</f>
        <v>0.17343902878435841</v>
      </c>
      <c r="V64" s="403">
        <f t="shared" si="13"/>
        <v>10634.651393931994</v>
      </c>
      <c r="Y64" s="11">
        <f t="shared" si="7"/>
        <v>1</v>
      </c>
    </row>
    <row r="65" spans="1:25">
      <c r="A65">
        <v>4612</v>
      </c>
      <c r="B65" t="s">
        <v>50</v>
      </c>
      <c r="C65" s="395">
        <f>+'Monthy Income Statements'!O64</f>
        <v>13914.41</v>
      </c>
      <c r="D65" s="112"/>
      <c r="E65" s="119">
        <f t="shared" si="23"/>
        <v>13914.41</v>
      </c>
      <c r="F65" s="119"/>
      <c r="G65" s="115">
        <v>1</v>
      </c>
      <c r="H65" s="112">
        <f>+'Proforma AJEs'!H14</f>
        <v>38858.43</v>
      </c>
      <c r="I65" s="119">
        <f t="shared" si="10"/>
        <v>52772.84</v>
      </c>
      <c r="J65" s="119"/>
      <c r="K65" s="119">
        <f>-'Cost Allocations-Contracts'!I66-'Cost Allocations-Contracts'!L66</f>
        <v>0</v>
      </c>
      <c r="L65" s="112">
        <f>-'Cost Allocations-Recycle'!J66</f>
        <v>-1220.1928779074251</v>
      </c>
      <c r="M65" s="112">
        <f>-'Cost Allocations-Recycle'!M66</f>
        <v>-2609.8615111052609</v>
      </c>
      <c r="N65" s="382">
        <f t="shared" si="22"/>
        <v>48942.78561098731</v>
      </c>
      <c r="O65" s="390"/>
      <c r="P65" s="390" t="s">
        <v>1124</v>
      </c>
      <c r="Q65" s="26">
        <f>+'Overhead Allocation'!$E$20</f>
        <v>0.74972468746804022</v>
      </c>
      <c r="R65" s="112">
        <f t="shared" si="11"/>
        <v>36693.614646012757</v>
      </c>
      <c r="S65" s="26">
        <f>+'Overhead Allocation'!$F$20</f>
        <v>7.6836283747601458E-2</v>
      </c>
      <c r="T65" s="403">
        <f t="shared" si="12"/>
        <v>3760.581762603847</v>
      </c>
      <c r="U65" s="26">
        <f>+'Overhead Allocation'!$G$20</f>
        <v>0.17343902878435841</v>
      </c>
      <c r="V65" s="403">
        <f t="shared" si="13"/>
        <v>8488.5892023707111</v>
      </c>
      <c r="Y65" s="11">
        <f t="shared" si="7"/>
        <v>1</v>
      </c>
    </row>
    <row r="66" spans="1:25">
      <c r="A66">
        <v>4613</v>
      </c>
      <c r="B66" t="s">
        <v>51</v>
      </c>
      <c r="C66" s="395">
        <f>+'Monthy Income Statements'!O65</f>
        <v>136928.57</v>
      </c>
      <c r="D66" s="112"/>
      <c r="E66" s="119">
        <f t="shared" si="23"/>
        <v>136928.57</v>
      </c>
      <c r="F66" s="119"/>
      <c r="G66" s="115">
        <v>1</v>
      </c>
      <c r="H66" s="112">
        <f>+'Proforma AJEs'!H15</f>
        <v>-6928.570000000007</v>
      </c>
      <c r="I66" s="119">
        <f t="shared" si="10"/>
        <v>130000</v>
      </c>
      <c r="J66" s="119"/>
      <c r="K66" s="119">
        <f>-'Cost Allocations-Contracts'!I67-'Cost Allocations-Contracts'!L67</f>
        <v>-18087.050902724259</v>
      </c>
      <c r="L66" s="112">
        <f>-'Cost Allocations-Recycle'!J67</f>
        <v>-2587.6072508910279</v>
      </c>
      <c r="M66" s="112">
        <f>-'Cost Allocations-Recycle'!M67</f>
        <v>-5534.6139878631184</v>
      </c>
      <c r="N66" s="382">
        <f t="shared" si="22"/>
        <v>103790.72785852158</v>
      </c>
      <c r="O66" s="390"/>
      <c r="P66" s="390" t="s">
        <v>1124</v>
      </c>
      <c r="Q66" s="26">
        <f>+'Overhead Allocation'!$E$20</f>
        <v>0.74972468746804022</v>
      </c>
      <c r="R66" s="112">
        <f t="shared" si="11"/>
        <v>77814.471005810512</v>
      </c>
      <c r="S66" s="26">
        <f>+'Overhead Allocation'!$F$20</f>
        <v>7.6836283747601458E-2</v>
      </c>
      <c r="T66" s="403">
        <f t="shared" si="12"/>
        <v>7974.8938161074475</v>
      </c>
      <c r="U66" s="26">
        <f>+'Overhead Allocation'!$G$20</f>
        <v>0.17343902878435841</v>
      </c>
      <c r="V66" s="403">
        <f t="shared" si="13"/>
        <v>18001.363036603634</v>
      </c>
      <c r="Y66" s="11">
        <f t="shared" si="7"/>
        <v>1</v>
      </c>
    </row>
    <row r="67" spans="1:25">
      <c r="A67">
        <v>4620</v>
      </c>
      <c r="B67" t="s">
        <v>52</v>
      </c>
      <c r="C67" s="395">
        <f>+'Monthy Income Statements'!O66</f>
        <v>48500.990000000005</v>
      </c>
      <c r="D67" s="112"/>
      <c r="E67" s="119">
        <f t="shared" si="23"/>
        <v>48500.990000000005</v>
      </c>
      <c r="F67" s="119"/>
      <c r="G67" s="115"/>
      <c r="H67" s="112"/>
      <c r="I67" s="119">
        <f t="shared" si="10"/>
        <v>48500.990000000005</v>
      </c>
      <c r="J67" s="119"/>
      <c r="K67" s="119">
        <f>-'Cost Allocations-Contracts'!I68-'Cost Allocations-Contracts'!L68</f>
        <v>-6747.9990381732323</v>
      </c>
      <c r="L67" s="112">
        <f>-'Cost Allocations-Recycle'!J68</f>
        <v>-965.39625691840968</v>
      </c>
      <c r="M67" s="112">
        <f>-'Cost Allocations-Recycle'!M68</f>
        <v>-2064.8789052246866</v>
      </c>
      <c r="N67" s="382">
        <f t="shared" si="22"/>
        <v>38722.715799683676</v>
      </c>
      <c r="O67" s="390"/>
      <c r="P67" s="390" t="s">
        <v>1124</v>
      </c>
      <c r="Q67" s="26">
        <f>+'Overhead Allocation'!$E$20</f>
        <v>0.74972468746804022</v>
      </c>
      <c r="R67" s="112">
        <f t="shared" si="11"/>
        <v>29031.376000831588</v>
      </c>
      <c r="S67" s="26">
        <f>+'Overhead Allocation'!$F$20</f>
        <v>7.6836283747601458E-2</v>
      </c>
      <c r="T67" s="403">
        <f t="shared" si="12"/>
        <v>2975.3095786622252</v>
      </c>
      <c r="U67" s="26">
        <f>+'Overhead Allocation'!$G$20</f>
        <v>0.17343902878435841</v>
      </c>
      <c r="V67" s="403">
        <f t="shared" si="13"/>
        <v>6716.0302201898667</v>
      </c>
      <c r="Y67" s="11">
        <f t="shared" si="7"/>
        <v>1</v>
      </c>
    </row>
    <row r="68" spans="1:25">
      <c r="A68">
        <v>4622</v>
      </c>
      <c r="B68" t="s">
        <v>53</v>
      </c>
      <c r="C68" s="112">
        <f>+'Monthy Income Statements'!O67</f>
        <v>0</v>
      </c>
      <c r="D68" s="112"/>
      <c r="E68" s="119">
        <f t="shared" si="23"/>
        <v>0</v>
      </c>
      <c r="F68" s="119"/>
      <c r="G68" s="115"/>
      <c r="H68" s="112"/>
      <c r="I68" s="119">
        <f t="shared" si="10"/>
        <v>0</v>
      </c>
      <c r="J68" s="119"/>
      <c r="K68" s="119">
        <f>-'Cost Allocations-Contracts'!I69-'Cost Allocations-Contracts'!L69</f>
        <v>0</v>
      </c>
      <c r="L68" s="112">
        <f>-'Cost Allocations-Recycle'!J69</f>
        <v>0</v>
      </c>
      <c r="M68" s="112">
        <f>-'Cost Allocations-Recycle'!M69</f>
        <v>0</v>
      </c>
      <c r="N68" s="382">
        <f t="shared" si="22"/>
        <v>0</v>
      </c>
      <c r="O68" s="390"/>
      <c r="P68" s="390" t="s">
        <v>1124</v>
      </c>
      <c r="Q68" s="26">
        <f>+'Overhead Allocation'!$E$20</f>
        <v>0.74972468746804022</v>
      </c>
      <c r="R68" s="112">
        <f t="shared" si="11"/>
        <v>0</v>
      </c>
      <c r="S68" s="26">
        <f>+'Overhead Allocation'!$F$20</f>
        <v>7.6836283747601458E-2</v>
      </c>
      <c r="T68" s="403">
        <f t="shared" si="12"/>
        <v>0</v>
      </c>
      <c r="U68" s="26">
        <f>+'Overhead Allocation'!$G$20</f>
        <v>0.17343902878435841</v>
      </c>
      <c r="V68" s="403">
        <f t="shared" si="13"/>
        <v>0</v>
      </c>
      <c r="Y68" s="11">
        <f t="shared" si="7"/>
        <v>1</v>
      </c>
    </row>
    <row r="69" spans="1:25">
      <c r="A69">
        <v>4624</v>
      </c>
      <c r="B69" t="s">
        <v>54</v>
      </c>
      <c r="C69" s="395">
        <f>+'Monthy Income Statements'!O68</f>
        <v>929.5</v>
      </c>
      <c r="D69" s="112"/>
      <c r="E69" s="119">
        <f t="shared" si="23"/>
        <v>929.5</v>
      </c>
      <c r="F69" s="119"/>
      <c r="G69" s="115"/>
      <c r="H69" s="112"/>
      <c r="I69" s="119">
        <f t="shared" si="10"/>
        <v>929.5</v>
      </c>
      <c r="J69" s="119"/>
      <c r="K69" s="119">
        <f>-'Cost Allocations-Contracts'!I70-'Cost Allocations-Contracts'!L70</f>
        <v>-129.32241395447844</v>
      </c>
      <c r="L69" s="112">
        <f>-'Cost Allocations-Recycle'!J70</f>
        <v>-18.501391843870849</v>
      </c>
      <c r="M69" s="112">
        <f>-'Cost Allocations-Recycle'!M70</f>
        <v>-39.572490013221291</v>
      </c>
      <c r="N69" s="382">
        <f t="shared" si="22"/>
        <v>742.10370418842945</v>
      </c>
      <c r="O69" s="390"/>
      <c r="P69" s="390" t="s">
        <v>1124</v>
      </c>
      <c r="Q69" s="26">
        <f>+'Overhead Allocation'!$E$20</f>
        <v>0.74972468746804022</v>
      </c>
      <c r="R69" s="112">
        <f t="shared" si="11"/>
        <v>556.37346769154522</v>
      </c>
      <c r="S69" s="26">
        <f>+'Overhead Allocation'!$F$20</f>
        <v>7.6836283747601458E-2</v>
      </c>
      <c r="T69" s="403">
        <f t="shared" si="12"/>
        <v>57.020490785168263</v>
      </c>
      <c r="U69" s="26">
        <f>+'Overhead Allocation'!$G$20</f>
        <v>0.17343902878435841</v>
      </c>
      <c r="V69" s="403">
        <f t="shared" si="13"/>
        <v>128.70974571171601</v>
      </c>
      <c r="Y69" s="11">
        <f t="shared" si="7"/>
        <v>1</v>
      </c>
    </row>
    <row r="70" spans="1:25">
      <c r="A70">
        <v>4625</v>
      </c>
      <c r="B70" t="s">
        <v>55</v>
      </c>
      <c r="C70" s="395">
        <f>+'Monthy Income Statements'!O69</f>
        <v>3070.6299999999997</v>
      </c>
      <c r="D70" s="112"/>
      <c r="E70" s="119">
        <f t="shared" si="23"/>
        <v>3070.6299999999997</v>
      </c>
      <c r="F70" s="119"/>
      <c r="G70" s="115"/>
      <c r="H70" s="112"/>
      <c r="I70" s="119">
        <f t="shared" si="10"/>
        <v>3070.6299999999997</v>
      </c>
      <c r="J70" s="119"/>
      <c r="K70" s="119">
        <f>-'Cost Allocations-Contracts'!I71-'Cost Allocations-Contracts'!L71</f>
        <v>-427.22031625717057</v>
      </c>
      <c r="L70" s="112">
        <f>-'Cost Allocations-Recycle'!J71</f>
        <v>-61.119880406180897</v>
      </c>
      <c r="M70" s="112">
        <f>-'Cost Allocations-Recycle'!M71</f>
        <v>-130.72885961193941</v>
      </c>
      <c r="N70" s="382">
        <f t="shared" si="22"/>
        <v>2451.560943724709</v>
      </c>
      <c r="O70" s="390"/>
      <c r="P70" s="390" t="s">
        <v>1124</v>
      </c>
      <c r="Q70" s="26">
        <f>+'Overhead Allocation'!$E$20</f>
        <v>0.74972468746804022</v>
      </c>
      <c r="R70" s="112">
        <f t="shared" si="11"/>
        <v>1837.9957623428611</v>
      </c>
      <c r="S70" s="26">
        <f>+'Overhead Allocation'!$F$20</f>
        <v>7.6836283747601458E-2</v>
      </c>
      <c r="T70" s="403">
        <f t="shared" si="12"/>
        <v>188.36883229656934</v>
      </c>
      <c r="U70" s="26">
        <f>+'Overhead Allocation'!$G$20</f>
        <v>0.17343902878435841</v>
      </c>
      <c r="V70" s="403">
        <f t="shared" si="13"/>
        <v>425.19634908527865</v>
      </c>
      <c r="Y70" s="11">
        <f t="shared" si="7"/>
        <v>1</v>
      </c>
    </row>
    <row r="71" spans="1:25">
      <c r="A71">
        <v>4627</v>
      </c>
      <c r="B71" t="s">
        <v>56</v>
      </c>
      <c r="C71" s="395">
        <f>+'Monthy Income Statements'!O70</f>
        <v>719.56</v>
      </c>
      <c r="D71" s="112"/>
      <c r="E71" s="119">
        <f t="shared" si="23"/>
        <v>719.56</v>
      </c>
      <c r="F71" s="119"/>
      <c r="G71" s="115"/>
      <c r="H71" s="112"/>
      <c r="I71" s="119">
        <f t="shared" si="10"/>
        <v>719.56</v>
      </c>
      <c r="J71" s="119"/>
      <c r="K71" s="119">
        <f>-'Cost Allocations-Contracts'!I72-'Cost Allocations-Contracts'!L72</f>
        <v>-100.11321805818665</v>
      </c>
      <c r="L71" s="112">
        <f>-'Cost Allocations-Recycle'!J72</f>
        <v>-14.322605180393447</v>
      </c>
      <c r="M71" s="112">
        <f>-'Cost Allocations-Recycle'!M72</f>
        <v>-30.634514162359885</v>
      </c>
      <c r="N71" s="382">
        <f t="shared" si="22"/>
        <v>574.4896625990599</v>
      </c>
      <c r="O71" s="390"/>
      <c r="P71" s="390" t="s">
        <v>1124</v>
      </c>
      <c r="Q71" s="26">
        <f>+'Overhead Allocation'!$E$20</f>
        <v>0.74972468746804022</v>
      </c>
      <c r="R71" s="112">
        <f t="shared" si="11"/>
        <v>430.70908274570007</v>
      </c>
      <c r="S71" s="26">
        <f>+'Overhead Allocation'!$F$20</f>
        <v>7.6836283747601458E-2</v>
      </c>
      <c r="T71" s="403">
        <f t="shared" si="12"/>
        <v>44.141650725525189</v>
      </c>
      <c r="U71" s="26">
        <f>+'Overhead Allocation'!$G$20</f>
        <v>0.17343902878435841</v>
      </c>
      <c r="V71" s="403">
        <f t="shared" si="13"/>
        <v>99.6389291278347</v>
      </c>
      <c r="Y71" s="11">
        <f t="shared" si="7"/>
        <v>1</v>
      </c>
    </row>
    <row r="72" spans="1:25">
      <c r="A72">
        <v>4628</v>
      </c>
      <c r="B72" t="s">
        <v>1312</v>
      </c>
      <c r="C72" s="395">
        <f>+'Monthy Income Statements'!O71</f>
        <v>22633.739999999998</v>
      </c>
      <c r="D72" s="112"/>
      <c r="E72" s="119">
        <f t="shared" ref="E72" si="24">+C72+D72</f>
        <v>22633.739999999998</v>
      </c>
      <c r="F72" s="119"/>
      <c r="G72" s="115"/>
      <c r="H72" s="112"/>
      <c r="I72" s="119">
        <f t="shared" ref="I72" si="25">+E72+H72</f>
        <v>22633.739999999998</v>
      </c>
      <c r="J72" s="119"/>
      <c r="K72" s="119">
        <f>-'Cost Allocations-Contracts'!I73-'Cost Allocations-Contracts'!L73</f>
        <v>0</v>
      </c>
      <c r="L72" s="112">
        <f>-'Cost Allocations-Recycle'!J73</f>
        <v>-523.32844600382327</v>
      </c>
      <c r="M72" s="112">
        <f>-'Cost Allocations-Recycle'!M73</f>
        <v>0</v>
      </c>
      <c r="N72" s="382">
        <f t="shared" ref="N72" si="26">I72+K72+L72+M72</f>
        <v>22110.411553996175</v>
      </c>
      <c r="O72" s="390"/>
      <c r="P72" s="390" t="s">
        <v>1124</v>
      </c>
      <c r="Q72" s="26">
        <f>+'Overhead Allocation'!$E$20</f>
        <v>0.74972468746804022</v>
      </c>
      <c r="R72" s="112">
        <f t="shared" ref="R72" si="27">N72*Q72</f>
        <v>16576.721392109528</v>
      </c>
      <c r="S72" s="26">
        <f>+'Overhead Allocation'!$F$20</f>
        <v>7.6836283747601458E-2</v>
      </c>
      <c r="T72" s="403">
        <f t="shared" ref="T72" si="28">N72*S72</f>
        <v>1698.8818559390959</v>
      </c>
      <c r="U72" s="26">
        <f>+'Overhead Allocation'!$G$20</f>
        <v>0.17343902878435841</v>
      </c>
      <c r="V72" s="403">
        <f t="shared" ref="V72" si="29">N72*U72</f>
        <v>3834.8083059475534</v>
      </c>
      <c r="Y72" s="11">
        <f t="shared" ref="Y72" si="30">Q72+S72+U72</f>
        <v>1</v>
      </c>
    </row>
    <row r="73" spans="1:25">
      <c r="A73">
        <v>4630</v>
      </c>
      <c r="B73" t="s">
        <v>57</v>
      </c>
      <c r="C73" s="395">
        <f>+'Monthy Income Statements'!O72</f>
        <v>525</v>
      </c>
      <c r="D73" s="112"/>
      <c r="E73" s="119">
        <f t="shared" si="23"/>
        <v>525</v>
      </c>
      <c r="F73" s="119"/>
      <c r="G73" s="115"/>
      <c r="H73" s="112"/>
      <c r="I73" s="119">
        <f t="shared" si="10"/>
        <v>525</v>
      </c>
      <c r="J73" s="119"/>
      <c r="K73" s="119">
        <f>-'Cost Allocations-Contracts'!I74-'Cost Allocations-Contracts'!L74</f>
        <v>-73.043859414847958</v>
      </c>
      <c r="L73" s="112">
        <f>-'Cost Allocations-Recycle'!J74</f>
        <v>-10.449952359367613</v>
      </c>
      <c r="M73" s="112">
        <f>-'Cost Allocations-Recycle'!M74</f>
        <v>-22.351325720216437</v>
      </c>
      <c r="N73" s="382">
        <f t="shared" si="22"/>
        <v>419.15486250556802</v>
      </c>
      <c r="O73" s="390"/>
      <c r="P73" s="390" t="s">
        <v>1124</v>
      </c>
      <c r="Q73" s="26">
        <f>+'Overhead Allocation'!$E$20</f>
        <v>0.74972468746804022</v>
      </c>
      <c r="R73" s="112">
        <f t="shared" si="11"/>
        <v>314.25074829269636</v>
      </c>
      <c r="S73" s="26">
        <f>+'Overhead Allocation'!$F$20</f>
        <v>7.6836283747601458E-2</v>
      </c>
      <c r="T73" s="403">
        <f t="shared" si="12"/>
        <v>32.206301949664699</v>
      </c>
      <c r="U73" s="26">
        <f>+'Overhead Allocation'!$G$20</f>
        <v>0.17343902878435841</v>
      </c>
      <c r="V73" s="403">
        <f t="shared" si="13"/>
        <v>72.697812263206998</v>
      </c>
      <c r="Y73" s="11">
        <f t="shared" si="7"/>
        <v>1</v>
      </c>
    </row>
    <row r="74" spans="1:25">
      <c r="A74">
        <v>4640</v>
      </c>
      <c r="B74" t="s">
        <v>58</v>
      </c>
      <c r="C74" s="395">
        <f>+'Monthy Income Statements'!O73</f>
        <v>15285.13</v>
      </c>
      <c r="D74" s="112"/>
      <c r="E74" s="119">
        <f t="shared" si="23"/>
        <v>15285.13</v>
      </c>
      <c r="F74" s="119"/>
      <c r="G74" s="115"/>
      <c r="H74" s="112"/>
      <c r="I74" s="119">
        <f t="shared" si="10"/>
        <v>15285.13</v>
      </c>
      <c r="J74" s="119"/>
      <c r="K74" s="119">
        <f>-'Cost Allocations-Contracts'!I75-'Cost Allocations-Contracts'!L75</f>
        <v>-2126.6378797289044</v>
      </c>
      <c r="L74" s="112">
        <f>-'Cost Allocations-Recycle'!J75</f>
        <v>-304.24548629855366</v>
      </c>
      <c r="M74" s="112">
        <f>-'Cost Allocations-Recycle'!M75</f>
        <v>-650.7484177254322</v>
      </c>
      <c r="N74" s="382">
        <f t="shared" si="22"/>
        <v>12203.498216247108</v>
      </c>
      <c r="O74" s="390"/>
      <c r="P74" s="390" t="s">
        <v>1124</v>
      </c>
      <c r="Q74" s="26">
        <f>+'Overhead Allocation'!$E$20</f>
        <v>0.74972468746804022</v>
      </c>
      <c r="R74" s="112">
        <f t="shared" si="11"/>
        <v>9149.2638861926498</v>
      </c>
      <c r="S74" s="26">
        <f>+'Overhead Allocation'!$F$20</f>
        <v>7.6836283747601458E-2</v>
      </c>
      <c r="T74" s="403">
        <f t="shared" si="12"/>
        <v>937.67145165691102</v>
      </c>
      <c r="U74" s="26">
        <f>+'Overhead Allocation'!$G$20</f>
        <v>0.17343902878435841</v>
      </c>
      <c r="V74" s="403">
        <f t="shared" si="13"/>
        <v>2116.5628783975485</v>
      </c>
      <c r="Y74" s="11">
        <f t="shared" si="7"/>
        <v>1</v>
      </c>
    </row>
    <row r="75" spans="1:25">
      <c r="A75">
        <v>4642</v>
      </c>
      <c r="B75" t="s">
        <v>1399</v>
      </c>
      <c r="C75" s="395">
        <f>+'Monthy Income Statements'!O74</f>
        <v>953.68</v>
      </c>
      <c r="D75" s="112"/>
      <c r="E75" s="119">
        <f t="shared" ref="E75" si="31">+C75+D75</f>
        <v>953.68</v>
      </c>
      <c r="F75" s="119"/>
      <c r="G75" s="115"/>
      <c r="H75" s="112"/>
      <c r="I75" s="119">
        <f t="shared" ref="I75" si="32">+E75+H75</f>
        <v>953.68</v>
      </c>
      <c r="J75" s="119"/>
      <c r="K75" s="119">
        <f>-'Cost Allocations-Contracts'!I76-'Cost Allocations-Contracts'!L76</f>
        <v>0</v>
      </c>
      <c r="L75" s="112">
        <f>-'Cost Allocations-Recycle'!J76</f>
        <v>-363.21776142618859</v>
      </c>
      <c r="M75" s="112">
        <f>-'Cost Allocations-Recycle'!M76</f>
        <v>-590.46223857381142</v>
      </c>
      <c r="N75" s="382">
        <f t="shared" ref="N75" si="33">I75+K75+L75+M75</f>
        <v>0</v>
      </c>
      <c r="O75" s="390"/>
      <c r="P75" s="390" t="s">
        <v>1124</v>
      </c>
      <c r="Q75" s="26">
        <f>+'Overhead Allocation'!$E$20</f>
        <v>0.74972468746804022</v>
      </c>
      <c r="R75" s="112">
        <f t="shared" ref="R75" si="34">N75*Q75</f>
        <v>0</v>
      </c>
      <c r="S75" s="26">
        <f>+'Overhead Allocation'!$F$20</f>
        <v>7.6836283747601458E-2</v>
      </c>
      <c r="T75" s="403">
        <f t="shared" ref="T75" si="35">N75*S75</f>
        <v>0</v>
      </c>
      <c r="U75" s="26">
        <f>+'Overhead Allocation'!$G$20</f>
        <v>0.17343902878435841</v>
      </c>
      <c r="V75" s="403">
        <f t="shared" ref="V75" si="36">N75*U75</f>
        <v>0</v>
      </c>
      <c r="Y75" s="11">
        <f t="shared" ref="Y75" si="37">Q75+S75+U75</f>
        <v>1</v>
      </c>
    </row>
    <row r="76" spans="1:25">
      <c r="A76">
        <v>4650</v>
      </c>
      <c r="B76" t="s">
        <v>59</v>
      </c>
      <c r="C76" s="395">
        <f>+'Monthy Income Statements'!O75</f>
        <v>78116.320000000007</v>
      </c>
      <c r="D76" s="112"/>
      <c r="E76" s="119">
        <f t="shared" si="23"/>
        <v>78116.320000000007</v>
      </c>
      <c r="F76" s="119"/>
      <c r="G76" s="115">
        <v>3</v>
      </c>
      <c r="H76" s="112">
        <f>+'Proforma AJEs'!H21</f>
        <v>26538.080000000002</v>
      </c>
      <c r="I76" s="119">
        <f t="shared" si="10"/>
        <v>104654.40000000001</v>
      </c>
      <c r="J76" s="119"/>
      <c r="K76" s="119">
        <f>-'Cost Allocations-Contracts'!I77-'Cost Allocations-Contracts'!L77</f>
        <v>-14560.688153800504</v>
      </c>
      <c r="L76" s="112">
        <f>-'Cost Allocations-Recycle'!J77</f>
        <v>-2083.1114175203847</v>
      </c>
      <c r="M76" s="112">
        <f>-'Cost Allocations-Recycle'!M77</f>
        <v>-4455.5515856263228</v>
      </c>
      <c r="N76" s="382">
        <f t="shared" si="22"/>
        <v>83555.048843052791</v>
      </c>
      <c r="O76" s="390"/>
      <c r="P76" s="390" t="s">
        <v>1124</v>
      </c>
      <c r="Q76" s="26">
        <f>+'Overhead Allocation'!$E$20</f>
        <v>0.74972468746804022</v>
      </c>
      <c r="R76" s="112">
        <f t="shared" si="11"/>
        <v>62643.28288023459</v>
      </c>
      <c r="S76" s="26">
        <f>+'Overhead Allocation'!$F$20</f>
        <v>7.6836283747601458E-2</v>
      </c>
      <c r="T76" s="403">
        <f t="shared" si="12"/>
        <v>6420.0594414495035</v>
      </c>
      <c r="U76" s="26">
        <f>+'Overhead Allocation'!$G$20</f>
        <v>0.17343902878435841</v>
      </c>
      <c r="V76" s="403">
        <f t="shared" si="13"/>
        <v>14491.706521368706</v>
      </c>
      <c r="Y76" s="11">
        <f t="shared" si="7"/>
        <v>1</v>
      </c>
    </row>
    <row r="77" spans="1:25">
      <c r="A77">
        <v>4652</v>
      </c>
      <c r="B77" t="s">
        <v>60</v>
      </c>
      <c r="C77" s="395">
        <f>+'Monthy Income Statements'!O76</f>
        <v>10683.049999999997</v>
      </c>
      <c r="D77" s="112"/>
      <c r="E77" s="119">
        <f t="shared" si="23"/>
        <v>10683.049999999997</v>
      </c>
      <c r="F77" s="119"/>
      <c r="G77" s="115"/>
      <c r="H77" s="112"/>
      <c r="I77" s="119">
        <f t="shared" si="10"/>
        <v>10683.049999999997</v>
      </c>
      <c r="J77" s="119"/>
      <c r="K77" s="119">
        <f>-'Cost Allocations-Contracts'!I78-'Cost Allocations-Contracts'!L78</f>
        <v>-1486.3451472796023</v>
      </c>
      <c r="L77" s="112">
        <f>-'Cost Allocations-Recycle'!J78</f>
        <v>-212.64259724331836</v>
      </c>
      <c r="M77" s="112">
        <f>-'Cost Allocations-Recycle'!M78</f>
        <v>-454.81967663877742</v>
      </c>
      <c r="N77" s="382">
        <f t="shared" si="22"/>
        <v>8529.2425788382989</v>
      </c>
      <c r="O77" s="390"/>
      <c r="P77" s="390" t="s">
        <v>1124</v>
      </c>
      <c r="Q77" s="26">
        <f>+'Overhead Allocation'!$E$20</f>
        <v>0.74972468746804022</v>
      </c>
      <c r="R77" s="112">
        <f t="shared" si="11"/>
        <v>6394.5837267586448</v>
      </c>
      <c r="S77" s="26">
        <f>+'Overhead Allocation'!$F$20</f>
        <v>7.6836283747601458E-2</v>
      </c>
      <c r="T77" s="403">
        <f t="shared" si="12"/>
        <v>655.35530293974352</v>
      </c>
      <c r="U77" s="26">
        <f>+'Overhead Allocation'!$G$20</f>
        <v>0.17343902878435841</v>
      </c>
      <c r="V77" s="403">
        <f t="shared" si="13"/>
        <v>1479.303549139911</v>
      </c>
      <c r="Y77" s="11">
        <f t="shared" si="7"/>
        <v>1</v>
      </c>
    </row>
    <row r="78" spans="1:25">
      <c r="A78">
        <v>4660</v>
      </c>
      <c r="B78" t="s">
        <v>61</v>
      </c>
      <c r="C78" s="112">
        <f>+'Monthy Income Statements'!O77</f>
        <v>0</v>
      </c>
      <c r="D78" s="112"/>
      <c r="E78" s="119">
        <f t="shared" si="23"/>
        <v>0</v>
      </c>
      <c r="F78" s="119"/>
      <c r="G78" s="115"/>
      <c r="H78" s="112"/>
      <c r="I78" s="119">
        <f t="shared" si="10"/>
        <v>0</v>
      </c>
      <c r="J78" s="119"/>
      <c r="K78" s="119">
        <f>-'Cost Allocations-Contracts'!I79-'Cost Allocations-Contracts'!L79</f>
        <v>0</v>
      </c>
      <c r="L78" s="112">
        <f>-'Cost Allocations-Recycle'!J79</f>
        <v>0</v>
      </c>
      <c r="M78" s="112">
        <f>-'Cost Allocations-Recycle'!M79</f>
        <v>0</v>
      </c>
      <c r="N78" s="382">
        <f t="shared" si="22"/>
        <v>0</v>
      </c>
      <c r="O78" s="390"/>
      <c r="P78" s="442" t="s">
        <v>151</v>
      </c>
      <c r="Q78" s="624">
        <f>$Q$21</f>
        <v>0.73427369633070694</v>
      </c>
      <c r="R78" s="112">
        <f t="shared" si="11"/>
        <v>0</v>
      </c>
      <c r="S78" s="26">
        <f>$S$21</f>
        <v>5.9818649619680551E-2</v>
      </c>
      <c r="T78" s="403">
        <f t="shared" si="12"/>
        <v>0</v>
      </c>
      <c r="U78" s="94">
        <f>$U$21</f>
        <v>0.2059076540496125</v>
      </c>
      <c r="V78" s="403">
        <f t="shared" si="13"/>
        <v>0</v>
      </c>
      <c r="Y78" s="11">
        <f t="shared" si="7"/>
        <v>1</v>
      </c>
    </row>
    <row r="79" spans="1:25">
      <c r="A79">
        <v>4670</v>
      </c>
      <c r="B79" t="s">
        <v>62</v>
      </c>
      <c r="C79" s="112">
        <f>+'Monthy Income Statements'!O78</f>
        <v>0</v>
      </c>
      <c r="D79" s="112"/>
      <c r="E79" s="119">
        <f t="shared" si="23"/>
        <v>0</v>
      </c>
      <c r="F79" s="119"/>
      <c r="G79" s="115"/>
      <c r="H79" s="112"/>
      <c r="I79" s="119">
        <f t="shared" si="10"/>
        <v>0</v>
      </c>
      <c r="J79" s="119"/>
      <c r="K79" s="119">
        <f>-'Cost Allocations-Contracts'!I80-'Cost Allocations-Contracts'!L80</f>
        <v>0</v>
      </c>
      <c r="L79" s="112">
        <f>-'Cost Allocations-Recycle'!J80</f>
        <v>0</v>
      </c>
      <c r="M79" s="112">
        <f>-'Cost Allocations-Recycle'!M80</f>
        <v>0</v>
      </c>
      <c r="N79" s="382">
        <f t="shared" si="22"/>
        <v>0</v>
      </c>
      <c r="O79" s="390"/>
      <c r="P79" s="442" t="s">
        <v>151</v>
      </c>
      <c r="Q79" s="624">
        <f>$Q$21</f>
        <v>0.73427369633070694</v>
      </c>
      <c r="R79" s="112">
        <f t="shared" si="11"/>
        <v>0</v>
      </c>
      <c r="S79" s="26">
        <f>$S$21</f>
        <v>5.9818649619680551E-2</v>
      </c>
      <c r="T79" s="403">
        <f t="shared" si="12"/>
        <v>0</v>
      </c>
      <c r="U79" s="94">
        <f>$U$21</f>
        <v>0.2059076540496125</v>
      </c>
      <c r="V79" s="403">
        <f t="shared" si="13"/>
        <v>0</v>
      </c>
      <c r="Y79" s="11">
        <f t="shared" ref="Y79:Y100" si="38">Q79+S79+U79</f>
        <v>1</v>
      </c>
    </row>
    <row r="80" spans="1:25">
      <c r="A80">
        <v>4680</v>
      </c>
      <c r="B80" t="s">
        <v>63</v>
      </c>
      <c r="C80" s="395">
        <f>+'Monthy Income Statements'!O79</f>
        <v>13958.2</v>
      </c>
      <c r="D80" s="112"/>
      <c r="E80" s="119">
        <f t="shared" si="23"/>
        <v>13958.2</v>
      </c>
      <c r="F80" s="119"/>
      <c r="G80" s="115"/>
      <c r="H80" s="112"/>
      <c r="I80" s="119">
        <f t="shared" si="10"/>
        <v>13958.2</v>
      </c>
      <c r="J80" s="119"/>
      <c r="K80" s="119">
        <f>-'Cost Allocations-Contracts'!I81-'Cost Allocations-Contracts'!L81</f>
        <v>0</v>
      </c>
      <c r="L80" s="112">
        <f>-'Cost Allocations-Recycle'!J81</f>
        <v>-322.736017777467</v>
      </c>
      <c r="M80" s="112">
        <f>-'Cost Allocations-Recycle'!M81</f>
        <v>-690.29767858446621</v>
      </c>
      <c r="N80" s="382">
        <f t="shared" si="22"/>
        <v>12945.166303638069</v>
      </c>
      <c r="O80" s="390"/>
      <c r="P80" s="442" t="s">
        <v>151</v>
      </c>
      <c r="Q80" s="624">
        <f>$Q$21</f>
        <v>0.73427369633070694</v>
      </c>
      <c r="R80" s="112">
        <f t="shared" si="11"/>
        <v>9505.295111388039</v>
      </c>
      <c r="S80" s="26">
        <f>$S$21</f>
        <v>5.9818649619680551E-2</v>
      </c>
      <c r="T80" s="403">
        <f t="shared" si="12"/>
        <v>774.3623673858209</v>
      </c>
      <c r="U80" s="94">
        <f>$U$21</f>
        <v>0.2059076540496125</v>
      </c>
      <c r="V80" s="403">
        <f t="shared" si="13"/>
        <v>2665.5088248642087</v>
      </c>
      <c r="Y80" s="11">
        <f t="shared" si="38"/>
        <v>1</v>
      </c>
    </row>
    <row r="81" spans="1:25">
      <c r="A81">
        <v>4692</v>
      </c>
      <c r="B81" t="s">
        <v>64</v>
      </c>
      <c r="C81" s="395">
        <f>+'Monthy Income Statements'!O80</f>
        <v>12791.52</v>
      </c>
      <c r="D81" s="112"/>
      <c r="E81" s="119">
        <f t="shared" si="23"/>
        <v>12791.52</v>
      </c>
      <c r="F81" s="119"/>
      <c r="G81" s="115">
        <v>4</v>
      </c>
      <c r="H81" s="445">
        <f>-'Proforma AJEs'!J30</f>
        <v>-1188</v>
      </c>
      <c r="I81" s="119">
        <f t="shared" si="10"/>
        <v>11603.52</v>
      </c>
      <c r="J81" s="119"/>
      <c r="K81" s="119">
        <f>-'Cost Allocations-Contracts'!I82-'Cost Allocations-Contracts'!L82</f>
        <v>-1614.4112068521458</v>
      </c>
      <c r="L81" s="112">
        <f>-'Cost Allocations-Recycle'!J82</f>
        <v>-230.96424990660819</v>
      </c>
      <c r="M81" s="112">
        <f>-'Cost Allocations-Recycle'!M82</f>
        <v>-494.00772384961118</v>
      </c>
      <c r="N81" s="382">
        <f t="shared" si="22"/>
        <v>9264.1368193916351</v>
      </c>
      <c r="O81" s="390"/>
      <c r="P81" s="390" t="s">
        <v>1124</v>
      </c>
      <c r="Q81" s="26">
        <f>+'Overhead Allocation'!$E$20</f>
        <v>0.74972468746804022</v>
      </c>
      <c r="R81" s="112">
        <f t="shared" si="11"/>
        <v>6945.552081579558</v>
      </c>
      <c r="S81" s="26">
        <f>+'Overhead Allocation'!$F$20</f>
        <v>7.6836283747601458E-2</v>
      </c>
      <c r="T81" s="403">
        <f t="shared" si="12"/>
        <v>711.82184533137774</v>
      </c>
      <c r="U81" s="26">
        <f>+'Overhead Allocation'!$G$20</f>
        <v>0.17343902878435841</v>
      </c>
      <c r="V81" s="403">
        <f t="shared" si="13"/>
        <v>1606.7628924807004</v>
      </c>
      <c r="Y81" s="11">
        <f t="shared" si="38"/>
        <v>1</v>
      </c>
    </row>
    <row r="82" spans="1:25">
      <c r="A82">
        <v>4694</v>
      </c>
      <c r="B82" t="s">
        <v>65</v>
      </c>
      <c r="C82" s="112">
        <f>+'Monthy Income Statements'!O81</f>
        <v>0</v>
      </c>
      <c r="D82" s="112"/>
      <c r="E82" s="119">
        <f t="shared" si="23"/>
        <v>0</v>
      </c>
      <c r="F82" s="119"/>
      <c r="G82" s="115"/>
      <c r="H82" s="112"/>
      <c r="I82" s="119">
        <f t="shared" si="10"/>
        <v>0</v>
      </c>
      <c r="J82" s="119"/>
      <c r="K82" s="119">
        <f>-'Cost Allocations-Contracts'!I83-'Cost Allocations-Contracts'!L83</f>
        <v>0</v>
      </c>
      <c r="L82" s="112">
        <f>-'Cost Allocations-Recycle'!J83</f>
        <v>0</v>
      </c>
      <c r="M82" s="112">
        <f>-'Cost Allocations-Recycle'!M83</f>
        <v>0</v>
      </c>
      <c r="N82" s="382">
        <f t="shared" si="22"/>
        <v>0</v>
      </c>
      <c r="O82" s="390"/>
      <c r="P82" s="390" t="s">
        <v>1124</v>
      </c>
      <c r="Q82" s="26">
        <f>+'Overhead Allocation'!$E$20</f>
        <v>0.74972468746804022</v>
      </c>
      <c r="R82" s="112">
        <f t="shared" si="11"/>
        <v>0</v>
      </c>
      <c r="S82" s="26">
        <f>+'Overhead Allocation'!$F$20</f>
        <v>7.6836283747601458E-2</v>
      </c>
      <c r="T82" s="403">
        <f t="shared" si="12"/>
        <v>0</v>
      </c>
      <c r="U82" s="26">
        <f>+'Overhead Allocation'!$G$20</f>
        <v>0.17343902878435841</v>
      </c>
      <c r="V82" s="403">
        <f t="shared" si="13"/>
        <v>0</v>
      </c>
      <c r="Y82" s="11">
        <f t="shared" si="38"/>
        <v>1</v>
      </c>
    </row>
    <row r="83" spans="1:25">
      <c r="A83">
        <v>4698</v>
      </c>
      <c r="B83" t="s">
        <v>66</v>
      </c>
      <c r="C83" s="395">
        <f>+'Monthy Income Statements'!O82</f>
        <v>849.97</v>
      </c>
      <c r="D83" s="112"/>
      <c r="E83" s="119">
        <f t="shared" si="23"/>
        <v>849.97</v>
      </c>
      <c r="F83" s="119"/>
      <c r="G83" s="115"/>
      <c r="H83" s="112"/>
      <c r="I83" s="119">
        <f t="shared" si="10"/>
        <v>849.97</v>
      </c>
      <c r="J83" s="119"/>
      <c r="K83" s="119">
        <f>-'Cost Allocations-Contracts'!I84-'Cost Allocations-Contracts'!L84</f>
        <v>-118.2573127368349</v>
      </c>
      <c r="L83" s="112">
        <f>-'Cost Allocations-Recycle'!J84</f>
        <v>-16.918373346460363</v>
      </c>
      <c r="M83" s="112">
        <f>-'Cost Allocations-Recycle'!M84</f>
        <v>-36.186583471261656</v>
      </c>
      <c r="N83" s="382">
        <f t="shared" si="22"/>
        <v>678.60773044544305</v>
      </c>
      <c r="O83" s="390"/>
      <c r="P83" s="390" t="s">
        <v>1124</v>
      </c>
      <c r="Q83" s="26">
        <f>+'Overhead Allocation'!$E$20</f>
        <v>0.74972468746804022</v>
      </c>
      <c r="R83" s="112">
        <f t="shared" si="11"/>
        <v>508.76896862160589</v>
      </c>
      <c r="S83" s="26">
        <f>+'Overhead Allocation'!$F$20</f>
        <v>7.6836283747601458E-2</v>
      </c>
      <c r="T83" s="403">
        <f t="shared" si="12"/>
        <v>52.141696129821909</v>
      </c>
      <c r="U83" s="26">
        <f>+'Overhead Allocation'!$G$20</f>
        <v>0.17343902878435841</v>
      </c>
      <c r="V83" s="403">
        <f t="shared" si="13"/>
        <v>117.69706569401532</v>
      </c>
      <c r="Y83" s="11">
        <f t="shared" si="38"/>
        <v>1</v>
      </c>
    </row>
    <row r="84" spans="1:25">
      <c r="A84" t="s">
        <v>19</v>
      </c>
      <c r="C84" s="112"/>
      <c r="D84" s="112"/>
      <c r="E84" s="119"/>
      <c r="F84" s="119"/>
      <c r="G84" s="115"/>
      <c r="H84" s="112"/>
      <c r="I84" s="119"/>
      <c r="J84" s="119"/>
      <c r="K84" s="119"/>
      <c r="L84" s="112"/>
      <c r="M84" s="112"/>
      <c r="N84" s="382"/>
      <c r="O84" s="390"/>
      <c r="P84" s="390"/>
      <c r="Q84" s="11"/>
      <c r="R84" s="112"/>
      <c r="S84" s="11"/>
      <c r="T84" s="403"/>
      <c r="U84" s="94"/>
      <c r="V84" s="403"/>
      <c r="Y84" s="11"/>
    </row>
    <row r="85" spans="1:25">
      <c r="A85">
        <v>5010</v>
      </c>
      <c r="B85" t="s">
        <v>67</v>
      </c>
      <c r="C85" s="395">
        <f>+'Monthy Income Statements'!O84</f>
        <v>257926</v>
      </c>
      <c r="D85" s="112">
        <f>-'Restating AJEs'!I13</f>
        <v>10913</v>
      </c>
      <c r="E85" s="119">
        <f>+C85+D85</f>
        <v>268839</v>
      </c>
      <c r="F85" s="119"/>
      <c r="G85" s="115"/>
      <c r="H85" s="112"/>
      <c r="I85" s="119">
        <f t="shared" si="10"/>
        <v>268839</v>
      </c>
      <c r="J85" s="119"/>
      <c r="K85" s="119">
        <f>-'Cost Allocations-Contracts'!I86-'Cost Allocations-Contracts'!L86</f>
        <v>-32225.867936022074</v>
      </c>
      <c r="L85" s="419">
        <f>-'Cost Allocations-Recycle'!J86</f>
        <v>-8207.4723381164749</v>
      </c>
      <c r="M85" s="419">
        <f>-'Cost Allocations-Recycle'!M86</f>
        <v>-3923.5518096211058</v>
      </c>
      <c r="N85" s="382">
        <f t="shared" si="22"/>
        <v>224482.10791624035</v>
      </c>
      <c r="O85" s="390"/>
      <c r="P85" s="442" t="s">
        <v>1125</v>
      </c>
      <c r="Q85" s="26">
        <f>+'Depr Allocation by County'!$L$12</f>
        <v>0.78248999147382692</v>
      </c>
      <c r="R85" s="112">
        <f t="shared" si="11"/>
        <v>175655.00270940561</v>
      </c>
      <c r="S85" s="11">
        <f>'Depr Allocation by County'!$L$14</f>
        <v>6.9764907092486672E-2</v>
      </c>
      <c r="T85" s="403">
        <f t="shared" si="12"/>
        <v>15660.973402702075</v>
      </c>
      <c r="U85" s="11">
        <f>'Depr Allocation by County'!$L$16</f>
        <v>0.14774510143368652</v>
      </c>
      <c r="V85" s="403">
        <f t="shared" si="13"/>
        <v>33166.131804132696</v>
      </c>
      <c r="Y85" s="11">
        <f t="shared" si="38"/>
        <v>1.0000000000000002</v>
      </c>
    </row>
    <row r="86" spans="1:25">
      <c r="A86">
        <v>5100</v>
      </c>
      <c r="B86" t="s">
        <v>68</v>
      </c>
      <c r="C86" s="395">
        <f>+'Monthy Income Statements'!O85</f>
        <v>0</v>
      </c>
      <c r="D86" s="112">
        <f>-'Restating AJEs'!I20</f>
        <v>-5714</v>
      </c>
      <c r="E86" s="119">
        <f>+C86+D86</f>
        <v>-5714</v>
      </c>
      <c r="F86" s="119"/>
      <c r="G86" s="115">
        <v>13</v>
      </c>
      <c r="H86" s="445">
        <f>'Proforma AJEs'!J96</f>
        <v>-2170.25</v>
      </c>
      <c r="I86" s="119">
        <f t="shared" si="10"/>
        <v>-7884.25</v>
      </c>
      <c r="J86" s="119"/>
      <c r="K86" s="119">
        <f>-'Cost Allocations-Contracts'!I87-'Cost Allocations-Contracts'!L87</f>
        <v>945.08906548001596</v>
      </c>
      <c r="L86" s="112">
        <f>-'Cost Allocations-Recycle'!J87</f>
        <v>240.7008052469873</v>
      </c>
      <c r="M86" s="112">
        <f>-'Cost Allocations-Recycle'!M87</f>
        <v>115.06613011878933</v>
      </c>
      <c r="N86" s="382">
        <f t="shared" si="22"/>
        <v>-6583.3939991542074</v>
      </c>
      <c r="O86" s="390"/>
      <c r="P86" s="442" t="s">
        <v>1125</v>
      </c>
      <c r="Q86" s="26">
        <f>+'Depr Allocation by County'!$L$12</f>
        <v>0.78248999147382692</v>
      </c>
      <c r="R86" s="112">
        <f t="shared" si="11"/>
        <v>-5151.439914267019</v>
      </c>
      <c r="S86" s="11">
        <f>'Depr Allocation by County'!$L$14</f>
        <v>6.9764907092486672E-2</v>
      </c>
      <c r="T86" s="403">
        <f t="shared" si="12"/>
        <v>-459.28987070422755</v>
      </c>
      <c r="U86" s="11">
        <f>'Depr Allocation by County'!$L$16</f>
        <v>0.14774510143368652</v>
      </c>
      <c r="V86" s="403">
        <f t="shared" si="13"/>
        <v>-972.66421418296159</v>
      </c>
      <c r="Y86" s="11">
        <f t="shared" si="38"/>
        <v>1.0000000000000002</v>
      </c>
    </row>
    <row r="87" spans="1:25">
      <c r="A87" t="s">
        <v>20</v>
      </c>
      <c r="C87" s="112"/>
      <c r="D87" s="112"/>
      <c r="E87" s="119"/>
      <c r="F87" s="119"/>
      <c r="G87" s="115"/>
      <c r="H87" s="112"/>
      <c r="I87" s="119"/>
      <c r="J87" s="119"/>
      <c r="K87" s="119"/>
      <c r="L87" s="112"/>
      <c r="M87" s="112"/>
      <c r="N87" s="382"/>
      <c r="O87" s="390"/>
      <c r="P87" s="390"/>
      <c r="Q87" s="11"/>
      <c r="R87" s="112"/>
      <c r="S87" s="11"/>
      <c r="T87" s="403"/>
      <c r="U87" s="94"/>
      <c r="V87" s="403"/>
      <c r="Y87" s="11"/>
    </row>
    <row r="88" spans="1:25">
      <c r="A88">
        <v>5151</v>
      </c>
      <c r="B88" t="s">
        <v>69</v>
      </c>
      <c r="C88" s="112">
        <f>+'Monthy Income Statements'!O87</f>
        <v>0</v>
      </c>
      <c r="D88" s="112"/>
      <c r="E88" s="119">
        <f>+C88+D88</f>
        <v>0</v>
      </c>
      <c r="F88" s="119"/>
      <c r="G88" s="115"/>
      <c r="H88" s="112"/>
      <c r="I88" s="119">
        <f t="shared" si="10"/>
        <v>0</v>
      </c>
      <c r="J88" s="119"/>
      <c r="K88" s="119">
        <f>-'Cost Allocations-Contracts'!I89-'Cost Allocations-Contracts'!L89</f>
        <v>0</v>
      </c>
      <c r="L88" s="112"/>
      <c r="M88" s="112">
        <f>-'Cost Allocations-Recycle'!M89</f>
        <v>0</v>
      </c>
      <c r="N88" s="382">
        <f t="shared" si="22"/>
        <v>0</v>
      </c>
      <c r="O88" s="390"/>
      <c r="P88" s="390" t="s">
        <v>1121</v>
      </c>
      <c r="Q88" s="15">
        <v>1</v>
      </c>
      <c r="R88" s="112">
        <f t="shared" si="11"/>
        <v>0</v>
      </c>
      <c r="S88" s="15">
        <v>0</v>
      </c>
      <c r="T88" s="403">
        <f t="shared" si="12"/>
        <v>0</v>
      </c>
      <c r="U88" s="94">
        <v>0</v>
      </c>
      <c r="V88" s="403">
        <f t="shared" si="13"/>
        <v>0</v>
      </c>
      <c r="Y88" s="11">
        <f t="shared" si="38"/>
        <v>1</v>
      </c>
    </row>
    <row r="89" spans="1:25">
      <c r="A89" t="s">
        <v>21</v>
      </c>
      <c r="C89" s="112"/>
      <c r="D89" s="112"/>
      <c r="E89" s="119"/>
      <c r="F89" s="119"/>
      <c r="G89" s="115"/>
      <c r="H89" s="112"/>
      <c r="I89" s="119"/>
      <c r="J89" s="119"/>
      <c r="K89" s="119"/>
      <c r="L89" s="112"/>
      <c r="M89" s="112"/>
      <c r="N89" s="382"/>
      <c r="O89" s="390"/>
      <c r="P89" s="390"/>
      <c r="Q89" s="11"/>
      <c r="R89" s="112"/>
      <c r="S89" s="11"/>
      <c r="T89" s="403"/>
      <c r="U89" s="94"/>
      <c r="V89" s="403"/>
      <c r="Y89" s="11"/>
    </row>
    <row r="90" spans="1:25">
      <c r="A90">
        <v>5220</v>
      </c>
      <c r="B90" t="s">
        <v>70</v>
      </c>
      <c r="C90" s="395">
        <f>+'Monthy Income Statements'!O89</f>
        <v>5676.75</v>
      </c>
      <c r="D90" s="112"/>
      <c r="E90" s="119">
        <f t="shared" ref="E90:E97" si="39">+C90+D90</f>
        <v>5676.75</v>
      </c>
      <c r="F90" s="119"/>
      <c r="G90" s="115"/>
      <c r="H90" s="112"/>
      <c r="I90" s="119">
        <f t="shared" si="10"/>
        <v>5676.75</v>
      </c>
      <c r="J90" s="119"/>
      <c r="K90" s="119">
        <f>-'Cost Allocations-Contracts'!I91-'Cost Allocations-Contracts'!L91</f>
        <v>-711.5302456513657</v>
      </c>
      <c r="L90" s="112">
        <f>-'Cost Allocations-Recycle'!J91</f>
        <v>-163.03983677295341</v>
      </c>
      <c r="M90" s="112">
        <f>-'Cost Allocations-Recycle'!M91</f>
        <v>0</v>
      </c>
      <c r="N90" s="382">
        <f t="shared" si="22"/>
        <v>4802.1799175756814</v>
      </c>
      <c r="O90" s="390"/>
      <c r="P90" s="390" t="s">
        <v>484</v>
      </c>
      <c r="Q90" s="26">
        <f>+'Hours &amp; Miles by County'!$D$25</f>
        <v>0.77916197521708785</v>
      </c>
      <c r="R90" s="112">
        <f t="shared" si="11"/>
        <v>3741.6759899261001</v>
      </c>
      <c r="S90" s="11">
        <f>+'Hours &amp; Miles by County'!$E$25</f>
        <v>7.6867423026312817E-2</v>
      </c>
      <c r="T90" s="403">
        <f t="shared" si="12"/>
        <v>369.13119517275391</v>
      </c>
      <c r="U90" s="94">
        <f>'Hours &amp; Miles by County'!$F$25</f>
        <v>0.14397060175659929</v>
      </c>
      <c r="V90" s="403">
        <f t="shared" si="13"/>
        <v>691.3727324768272</v>
      </c>
      <c r="Y90" s="11">
        <f t="shared" si="38"/>
        <v>0.99999999999999989</v>
      </c>
    </row>
    <row r="91" spans="1:25">
      <c r="A91">
        <v>5230</v>
      </c>
      <c r="B91" t="s">
        <v>71</v>
      </c>
      <c r="C91" s="395">
        <f>+'Monthy Income Statements'!O90</f>
        <v>2394.9899999999998</v>
      </c>
      <c r="D91" s="112"/>
      <c r="E91" s="119">
        <f t="shared" si="39"/>
        <v>2394.9899999999998</v>
      </c>
      <c r="F91" s="119"/>
      <c r="G91" s="115"/>
      <c r="H91" s="112"/>
      <c r="I91" s="119">
        <f t="shared" si="10"/>
        <v>2394.9899999999998</v>
      </c>
      <c r="J91" s="119"/>
      <c r="K91" s="119">
        <f>-'Cost Allocations-Contracts'!I92-'Cost Allocations-Contracts'!L92</f>
        <v>-201.10603053435113</v>
      </c>
      <c r="L91" s="112">
        <f>-'Cost Allocations-Recycle'!J92</f>
        <v>0</v>
      </c>
      <c r="M91" s="112">
        <f>-'Cost Allocations-Recycle'!M92</f>
        <v>0</v>
      </c>
      <c r="N91" s="382">
        <f t="shared" si="22"/>
        <v>2193.8839694656485</v>
      </c>
      <c r="O91" s="390"/>
      <c r="P91" s="442" t="s">
        <v>1122</v>
      </c>
      <c r="Q91" s="26">
        <f>ROUND(+'Container Count by County'!$K$22,3)</f>
        <v>0.82</v>
      </c>
      <c r="R91" s="112">
        <f t="shared" si="11"/>
        <v>1798.9848549618316</v>
      </c>
      <c r="S91" s="26">
        <f>ROUND(+'Container Count by County'!$K$24,3)</f>
        <v>0.04</v>
      </c>
      <c r="T91" s="403">
        <f t="shared" si="12"/>
        <v>87.755358778625947</v>
      </c>
      <c r="U91" s="94">
        <f>ROUND(+'Container Count by County'!$K$26,3)</f>
        <v>0.13</v>
      </c>
      <c r="V91" s="403">
        <f t="shared" si="13"/>
        <v>285.20491603053432</v>
      </c>
      <c r="Y91" s="11">
        <f t="shared" si="38"/>
        <v>0.99</v>
      </c>
    </row>
    <row r="92" spans="1:25">
      <c r="A92">
        <v>5240</v>
      </c>
      <c r="B92" t="s">
        <v>72</v>
      </c>
      <c r="C92" s="395">
        <f>+'Monthy Income Statements'!O91</f>
        <v>55882.060000000005</v>
      </c>
      <c r="D92" s="112"/>
      <c r="E92" s="119">
        <f t="shared" si="39"/>
        <v>55882.060000000005</v>
      </c>
      <c r="F92" s="119"/>
      <c r="G92" s="115"/>
      <c r="H92" s="112"/>
      <c r="I92" s="119">
        <f t="shared" si="10"/>
        <v>55882.060000000005</v>
      </c>
      <c r="J92" s="119"/>
      <c r="K92" s="119">
        <f>-'Cost Allocations-Contracts'!I93-'Cost Allocations-Contracts'!L93</f>
        <v>-7004.3204085620036</v>
      </c>
      <c r="L92" s="112">
        <f>-'Cost Allocations-Recycle'!J93</f>
        <v>-1187.4705983952354</v>
      </c>
      <c r="M92" s="112">
        <f>-'Cost Allocations-Recycle'!M93</f>
        <v>-1977.5911421418282</v>
      </c>
      <c r="N92" s="382">
        <f t="shared" ref="N92:N97" si="40">I92+K92+L92+M92</f>
        <v>45712.677850900938</v>
      </c>
      <c r="O92" s="390"/>
      <c r="P92" s="390" t="s">
        <v>484</v>
      </c>
      <c r="Q92" s="26">
        <f>+'Hours &amp; Miles by County'!$D$25</f>
        <v>0.77916197521708785</v>
      </c>
      <c r="R92" s="112">
        <f t="shared" si="11"/>
        <v>35617.580366770395</v>
      </c>
      <c r="S92" s="11">
        <f>+'Hours &amp; Miles by County'!$E$25</f>
        <v>7.6867423026312817E-2</v>
      </c>
      <c r="T92" s="403">
        <f t="shared" si="12"/>
        <v>3513.8157460307625</v>
      </c>
      <c r="U92" s="94">
        <f>'Hours &amp; Miles by County'!$F$25</f>
        <v>0.14397060175659929</v>
      </c>
      <c r="V92" s="403">
        <f t="shared" si="13"/>
        <v>6581.2817380997758</v>
      </c>
      <c r="Y92" s="11">
        <f t="shared" si="38"/>
        <v>0.99999999999999989</v>
      </c>
    </row>
    <row r="93" spans="1:25">
      <c r="A93">
        <v>5241</v>
      </c>
      <c r="B93" t="s">
        <v>73</v>
      </c>
      <c r="C93" s="395">
        <f>+'Monthy Income Statements'!O92</f>
        <v>678.04000000000008</v>
      </c>
      <c r="D93" s="112"/>
      <c r="E93" s="119">
        <f t="shared" si="39"/>
        <v>678.04000000000008</v>
      </c>
      <c r="F93" s="119"/>
      <c r="G93" s="115"/>
      <c r="H93" s="112"/>
      <c r="I93" s="119">
        <f t="shared" ref="I93:I100" si="41">+E93+H93</f>
        <v>678.04000000000008</v>
      </c>
      <c r="J93" s="119"/>
      <c r="K93" s="119">
        <f>-'Cost Allocations-Contracts'!I94-'Cost Allocations-Contracts'!L94</f>
        <v>-84.986298103924256</v>
      </c>
      <c r="L93" s="112">
        <f>-'Cost Allocations-Recycle'!J94</f>
        <v>-93.134948893743953</v>
      </c>
      <c r="M93" s="112">
        <f>-'Cost Allocations-Recycle'!M94</f>
        <v>-155.10518761896694</v>
      </c>
      <c r="N93" s="382">
        <f t="shared" si="40"/>
        <v>344.8135653833649</v>
      </c>
      <c r="O93" s="390"/>
      <c r="P93" s="390" t="s">
        <v>484</v>
      </c>
      <c r="Q93" s="26">
        <f>+'Hours &amp; Miles by County'!$D$25</f>
        <v>0.77916197521708785</v>
      </c>
      <c r="R93" s="112">
        <f t="shared" ref="R93:R100" si="42">N93*Q93</f>
        <v>268.66561868574905</v>
      </c>
      <c r="S93" s="11">
        <f>+'Hours &amp; Miles by County'!$E$25</f>
        <v>7.6867423026312817E-2</v>
      </c>
      <c r="T93" s="403">
        <f t="shared" ref="T93:T100" si="43">N93*S93</f>
        <v>26.504930195534282</v>
      </c>
      <c r="U93" s="94">
        <f>'Hours &amp; Miles by County'!$F$25</f>
        <v>0.14397060175659929</v>
      </c>
      <c r="V93" s="403">
        <f t="shared" ref="V93:V100" si="44">N93*U93</f>
        <v>49.643016502081537</v>
      </c>
      <c r="Y93" s="11">
        <f t="shared" si="38"/>
        <v>0.99999999999999989</v>
      </c>
    </row>
    <row r="94" spans="1:25">
      <c r="A94">
        <v>5242</v>
      </c>
      <c r="B94" t="s">
        <v>74</v>
      </c>
      <c r="C94" s="395">
        <f>+'Monthy Income Statements'!O93</f>
        <v>5208.82</v>
      </c>
      <c r="D94" s="112"/>
      <c r="E94" s="119">
        <f t="shared" si="39"/>
        <v>5208.82</v>
      </c>
      <c r="F94" s="119"/>
      <c r="G94" s="115">
        <v>11</v>
      </c>
      <c r="H94" s="112">
        <f>+'Proforma AJEs'!H71</f>
        <v>613.375</v>
      </c>
      <c r="I94" s="119">
        <f t="shared" si="41"/>
        <v>5822.1949999999997</v>
      </c>
      <c r="J94" s="119"/>
      <c r="K94" s="119">
        <f>-'Cost Allocations-Contracts'!I95-'Cost Allocations-Contracts'!L95</f>
        <v>-729.76048594356848</v>
      </c>
      <c r="L94" s="112">
        <f>-'Cost Allocations-Recycle'!J95</f>
        <v>-20.179238926977856</v>
      </c>
      <c r="M94" s="112">
        <f>-'Cost Allocations-Recycle'!M95</f>
        <v>-33.606123984109495</v>
      </c>
      <c r="N94" s="382">
        <f t="shared" si="40"/>
        <v>5038.6491511453441</v>
      </c>
      <c r="O94" s="390"/>
      <c r="P94" s="390" t="s">
        <v>484</v>
      </c>
      <c r="Q94" s="26">
        <f>+'Hours &amp; Miles by County'!$D$25</f>
        <v>0.77916197521708785</v>
      </c>
      <c r="R94" s="112">
        <f t="shared" si="42"/>
        <v>3925.9238250323092</v>
      </c>
      <c r="S94" s="11">
        <f>+'Hours &amp; Miles by County'!$E$25</f>
        <v>7.6867423026312817E-2</v>
      </c>
      <c r="T94" s="403">
        <f t="shared" si="43"/>
        <v>387.30797578226117</v>
      </c>
      <c r="U94" s="94">
        <f>'Hours &amp; Miles by County'!$F$25</f>
        <v>0.14397060175659929</v>
      </c>
      <c r="V94" s="403">
        <f t="shared" si="44"/>
        <v>725.41735033077339</v>
      </c>
      <c r="Y94" s="11">
        <f t="shared" si="38"/>
        <v>0.99999999999999989</v>
      </c>
    </row>
    <row r="95" spans="1:25">
      <c r="A95">
        <v>5260</v>
      </c>
      <c r="B95" t="s">
        <v>75</v>
      </c>
      <c r="C95" s="395">
        <f>+'Monthy Income Statements'!O94</f>
        <v>55794.270000000004</v>
      </c>
      <c r="D95" s="112"/>
      <c r="E95" s="119">
        <f t="shared" si="39"/>
        <v>55794.270000000004</v>
      </c>
      <c r="F95" s="119"/>
      <c r="G95" s="115">
        <v>7</v>
      </c>
      <c r="H95" s="112">
        <f>'Proforma AJEs'!I44</f>
        <v>65.229178875000443</v>
      </c>
      <c r="I95" s="119">
        <f t="shared" si="41"/>
        <v>55859.499178875005</v>
      </c>
      <c r="J95" s="119"/>
      <c r="K95" s="119">
        <f>-'Cost Allocations-Contracts'!I96-'Cost Allocations-Contracts'!L96</f>
        <v>-7157.1161874234804</v>
      </c>
      <c r="L95" s="112">
        <f>-'Cost Allocations-Recycle'!J96</f>
        <v>-838.420857429335</v>
      </c>
      <c r="M95" s="112">
        <f>-'Cost Allocations-Recycle'!M96</f>
        <v>-1362.9725991395453</v>
      </c>
      <c r="N95" s="382">
        <f t="shared" si="40"/>
        <v>46500.989534882639</v>
      </c>
      <c r="O95" s="390"/>
      <c r="P95" s="442" t="s">
        <v>151</v>
      </c>
      <c r="Q95" s="444">
        <f>$Q$21</f>
        <v>0.73427369633070694</v>
      </c>
      <c r="R95" s="112">
        <f t="shared" si="42"/>
        <v>34144.453468813794</v>
      </c>
      <c r="S95" s="11">
        <f>+S21</f>
        <v>5.9818649619680551E-2</v>
      </c>
      <c r="T95" s="403">
        <f t="shared" si="43"/>
        <v>2781.6263999555767</v>
      </c>
      <c r="U95" s="94">
        <f>$U$21</f>
        <v>0.2059076540496125</v>
      </c>
      <c r="V95" s="403">
        <f t="shared" si="44"/>
        <v>9574.9096661132662</v>
      </c>
      <c r="Y95" s="11">
        <f t="shared" si="38"/>
        <v>1</v>
      </c>
    </row>
    <row r="96" spans="1:25">
      <c r="A96">
        <v>5270</v>
      </c>
      <c r="B96" t="s">
        <v>76</v>
      </c>
      <c r="C96" s="395">
        <f>+'Monthy Income Statements'!O95</f>
        <v>7990.68</v>
      </c>
      <c r="D96" s="112"/>
      <c r="E96" s="119">
        <f t="shared" si="39"/>
        <v>7990.68</v>
      </c>
      <c r="F96" s="119"/>
      <c r="G96" s="115"/>
      <c r="H96" s="112"/>
      <c r="I96" s="119">
        <f t="shared" si="41"/>
        <v>7990.68</v>
      </c>
      <c r="J96" s="119"/>
      <c r="K96" s="119">
        <f>-'Cost Allocations-Contracts'!I97-'Cost Allocations-Contracts'!L97</f>
        <v>0</v>
      </c>
      <c r="L96" s="112">
        <f>-'Cost Allocations-Recycle'!J97</f>
        <v>0</v>
      </c>
      <c r="M96" s="112">
        <f>-'Cost Allocations-Recycle'!M97</f>
        <v>0</v>
      </c>
      <c r="N96" s="382">
        <f t="shared" si="40"/>
        <v>7990.68</v>
      </c>
      <c r="O96" s="390"/>
      <c r="P96" s="442" t="s">
        <v>151</v>
      </c>
      <c r="Q96" s="625">
        <v>0</v>
      </c>
      <c r="R96" s="112">
        <f t="shared" si="42"/>
        <v>0</v>
      </c>
      <c r="S96" s="15">
        <v>1</v>
      </c>
      <c r="T96" s="403">
        <f t="shared" si="43"/>
        <v>7990.68</v>
      </c>
      <c r="U96" s="94">
        <v>0</v>
      </c>
      <c r="V96" s="403">
        <f t="shared" si="44"/>
        <v>0</v>
      </c>
      <c r="Y96" s="11">
        <f t="shared" si="38"/>
        <v>1</v>
      </c>
    </row>
    <row r="97" spans="1:25">
      <c r="A97">
        <v>5290</v>
      </c>
      <c r="B97" t="s">
        <v>77</v>
      </c>
      <c r="C97" s="395">
        <f>+'Monthy Income Statements'!O96</f>
        <v>233.63</v>
      </c>
      <c r="D97" s="112"/>
      <c r="E97" s="119">
        <f t="shared" si="39"/>
        <v>233.63</v>
      </c>
      <c r="F97" s="119"/>
      <c r="G97" s="115"/>
      <c r="H97" s="112"/>
      <c r="I97" s="119">
        <f t="shared" si="41"/>
        <v>233.63</v>
      </c>
      <c r="J97" s="119"/>
      <c r="K97" s="119">
        <f>-'Cost Allocations-Contracts'!I98-'Cost Allocations-Contracts'!L98</f>
        <v>-29.283447622588373</v>
      </c>
      <c r="L97" s="112">
        <f>-'Cost Allocations-Recycle'!J98</f>
        <v>-6.7100008042040082</v>
      </c>
      <c r="M97" s="112">
        <f>-'Cost Allocations-Recycle'!M98</f>
        <v>0</v>
      </c>
      <c r="N97" s="382">
        <f t="shared" si="40"/>
        <v>197.63655157320761</v>
      </c>
      <c r="O97" s="390"/>
      <c r="P97" s="390" t="s">
        <v>484</v>
      </c>
      <c r="Q97" s="26">
        <f>+'Hours &amp; Miles by County'!$D$25</f>
        <v>0.77916197521708785</v>
      </c>
      <c r="R97" s="112">
        <f t="shared" si="42"/>
        <v>153.9908858988743</v>
      </c>
      <c r="S97" s="11">
        <f>+'Hours &amp; Miles by County'!$E$25</f>
        <v>7.6867423026312817E-2</v>
      </c>
      <c r="T97" s="403">
        <f t="shared" si="43"/>
        <v>15.19181241523944</v>
      </c>
      <c r="U97" s="94">
        <f>'Hours &amp; Miles by County'!$F$25</f>
        <v>0.14397060175659929</v>
      </c>
      <c r="V97" s="403">
        <f t="shared" si="44"/>
        <v>28.453853259093869</v>
      </c>
      <c r="Y97" s="11">
        <f t="shared" si="38"/>
        <v>0.99999999999999989</v>
      </c>
    </row>
    <row r="98" spans="1:25">
      <c r="A98" t="s">
        <v>22</v>
      </c>
      <c r="C98" s="112"/>
      <c r="D98" s="112"/>
      <c r="E98" s="119"/>
      <c r="F98" s="119"/>
      <c r="G98" s="115"/>
      <c r="H98" s="112"/>
      <c r="I98" s="119"/>
      <c r="J98" s="119"/>
      <c r="K98" s="119"/>
      <c r="L98" s="112"/>
      <c r="M98" s="112"/>
      <c r="N98" s="382"/>
      <c r="O98" s="390"/>
      <c r="P98" s="390"/>
      <c r="Q98" s="11"/>
      <c r="R98" s="112"/>
      <c r="S98" s="11"/>
      <c r="T98" s="403"/>
      <c r="U98" s="94"/>
      <c r="V98" s="403"/>
      <c r="Y98" s="11"/>
    </row>
    <row r="99" spans="1:25">
      <c r="A99">
        <v>5320</v>
      </c>
      <c r="B99" t="s">
        <v>78</v>
      </c>
      <c r="C99" s="395">
        <f>+'Monthy Income Statements'!O98</f>
        <v>88512</v>
      </c>
      <c r="D99" s="112"/>
      <c r="E99" s="119">
        <f>+C99+D99</f>
        <v>88512</v>
      </c>
      <c r="F99" s="119"/>
      <c r="G99" s="115">
        <v>12</v>
      </c>
      <c r="H99" s="112">
        <f>'Proforma AJEs'!H74</f>
        <v>4440</v>
      </c>
      <c r="I99" s="119">
        <f t="shared" si="41"/>
        <v>92952</v>
      </c>
      <c r="J99" s="119"/>
      <c r="K99" s="119">
        <f>-'Cost Allocations-Contracts'!I100-'Cost Allocations-Contracts'!L100</f>
        <v>-12932.519657769424</v>
      </c>
      <c r="L99" s="112">
        <f>-'Cost Allocations-Recycle'!J100</f>
        <v>0</v>
      </c>
      <c r="M99" s="112">
        <f>-'Cost Allocations-Recycle'!M100</f>
        <v>0</v>
      </c>
      <c r="N99" s="382">
        <f>I99+K99+L99+M99</f>
        <v>80019.48034223057</v>
      </c>
      <c r="O99" s="390"/>
      <c r="P99" s="390" t="s">
        <v>1124</v>
      </c>
      <c r="Q99" s="26">
        <f>+'Overhead Allocation'!$E$20</f>
        <v>0.74972468746804022</v>
      </c>
      <c r="R99" s="112">
        <f t="shared" si="42"/>
        <v>59992.579890933805</v>
      </c>
      <c r="S99" s="26">
        <f>+'Overhead Allocation'!$F$20</f>
        <v>7.6836283747601458E-2</v>
      </c>
      <c r="T99" s="403">
        <f t="shared" si="43"/>
        <v>6148.3994969112455</v>
      </c>
      <c r="U99" s="26">
        <f>+'Overhead Allocation'!$G$20</f>
        <v>0.17343902878435841</v>
      </c>
      <c r="V99" s="403">
        <f t="shared" si="44"/>
        <v>13878.50095438553</v>
      </c>
      <c r="Y99" s="11">
        <f t="shared" si="38"/>
        <v>1</v>
      </c>
    </row>
    <row r="100" spans="1:25" ht="13.5" thickBot="1">
      <c r="A100">
        <v>5322</v>
      </c>
      <c r="B100" s="83" t="s">
        <v>370</v>
      </c>
      <c r="C100" s="113">
        <f>+'Monthy Income Statements'!O99</f>
        <v>28800</v>
      </c>
      <c r="D100" s="113"/>
      <c r="E100" s="120">
        <f>+C100+D100</f>
        <v>28800</v>
      </c>
      <c r="F100" s="120"/>
      <c r="G100" s="380">
        <v>12</v>
      </c>
      <c r="H100" s="113">
        <f>'Proforma AJEs'!H75</f>
        <v>1052</v>
      </c>
      <c r="I100" s="120">
        <f t="shared" si="41"/>
        <v>29852</v>
      </c>
      <c r="J100" s="120"/>
      <c r="K100" s="120">
        <f>-'Cost Allocations-Contracts'!I101-'Cost Allocations-Contracts'!L101</f>
        <v>0</v>
      </c>
      <c r="L100" s="113">
        <f>-'Cost Allocations-Recycle'!J101</f>
        <v>-11369.407572869917</v>
      </c>
      <c r="M100" s="113">
        <f>-'Cost Allocations-Recycle'!M101</f>
        <v>-18482.592427130086</v>
      </c>
      <c r="N100" s="120">
        <f>I100+K100+L100+M100</f>
        <v>0</v>
      </c>
      <c r="O100" s="391"/>
      <c r="P100" s="390" t="s">
        <v>1124</v>
      </c>
      <c r="Q100" s="392">
        <f>+'Overhead Allocation'!$E$20</f>
        <v>0.74972468746804022</v>
      </c>
      <c r="R100" s="113">
        <f t="shared" si="42"/>
        <v>0</v>
      </c>
      <c r="S100" s="105">
        <f>+'Overhead Allocation'!$F$20</f>
        <v>7.6836283747601458E-2</v>
      </c>
      <c r="T100" s="394">
        <f t="shared" si="43"/>
        <v>0</v>
      </c>
      <c r="U100" s="105">
        <f>+'Overhead Allocation'!$G$20</f>
        <v>0.17343902878435841</v>
      </c>
      <c r="V100" s="394">
        <f t="shared" si="44"/>
        <v>0</v>
      </c>
      <c r="Y100" s="11">
        <f t="shared" si="38"/>
        <v>1</v>
      </c>
    </row>
    <row r="101" spans="1:25">
      <c r="C101" s="112"/>
      <c r="D101" s="112"/>
      <c r="E101" s="119"/>
      <c r="F101" s="119"/>
      <c r="G101" s="118"/>
      <c r="H101" s="112"/>
      <c r="I101" s="119"/>
      <c r="J101" s="119"/>
      <c r="K101" s="119"/>
      <c r="L101" s="112"/>
      <c r="M101" s="112"/>
      <c r="N101" s="118"/>
      <c r="O101" s="18"/>
      <c r="P101" s="18"/>
      <c r="R101" s="112"/>
      <c r="T101" s="403"/>
      <c r="V101" s="403"/>
    </row>
    <row r="102" spans="1:25" ht="13.5" thickBot="1">
      <c r="B102" t="s">
        <v>23</v>
      </c>
      <c r="C102" s="113">
        <f>SUM(C25:C100)</f>
        <v>2885118.0920000006</v>
      </c>
      <c r="D102" s="113">
        <f>SUM(D25:D100)</f>
        <v>5199</v>
      </c>
      <c r="E102" s="120">
        <f>SUM(E25:E100)</f>
        <v>2890317.0920000006</v>
      </c>
      <c r="F102" s="120"/>
      <c r="G102" s="381"/>
      <c r="H102" s="113">
        <f>SUM(H25:H100)</f>
        <v>96397.090528875051</v>
      </c>
      <c r="I102" s="120">
        <f>SUM(I25:I100)</f>
        <v>2986714.1825288762</v>
      </c>
      <c r="J102" s="120"/>
      <c r="K102" s="120">
        <f>SUM(K25:K100)</f>
        <v>-347162.69158580125</v>
      </c>
      <c r="L102" s="113">
        <f>SUM(L25:L100)</f>
        <v>-52200.455448471213</v>
      </c>
      <c r="M102" s="113">
        <f>SUM(M25:M100)</f>
        <v>-80680.280422048774</v>
      </c>
      <c r="N102" s="120">
        <f>SUM(N25:N100)</f>
        <v>2506670.755072555</v>
      </c>
      <c r="O102" s="391"/>
      <c r="P102" s="391"/>
      <c r="R102" s="113">
        <f>SUM(R25:R100)</f>
        <v>1885921.742040544</v>
      </c>
      <c r="S102" s="113"/>
      <c r="T102" s="113">
        <f>SUM(T25:T100)</f>
        <v>176156.5801510707</v>
      </c>
      <c r="U102" s="113"/>
      <c r="V102" s="113">
        <f>SUM(V25:V100)</f>
        <v>444492.17346719833</v>
      </c>
      <c r="W102" s="403">
        <f>SUM(R102:V102)</f>
        <v>2506570.495658813</v>
      </c>
      <c r="X102" s="403">
        <f>W102-N102</f>
        <v>-100.25941374199465</v>
      </c>
      <c r="Y102" t="s">
        <v>1132</v>
      </c>
    </row>
    <row r="103" spans="1:25">
      <c r="C103" s="112"/>
      <c r="D103" s="112"/>
      <c r="E103" s="119"/>
      <c r="F103" s="119"/>
      <c r="G103" s="118"/>
      <c r="H103" s="112"/>
      <c r="I103" s="119"/>
      <c r="J103" s="119"/>
      <c r="K103" s="119"/>
      <c r="L103" s="112"/>
      <c r="M103" s="112"/>
      <c r="N103" s="118"/>
      <c r="O103" s="18"/>
      <c r="P103" s="18"/>
    </row>
    <row r="104" spans="1:25" ht="13.5" thickBot="1">
      <c r="B104" t="s">
        <v>24</v>
      </c>
      <c r="C104" s="113">
        <f>+C21-C102</f>
        <v>267558.30899999943</v>
      </c>
      <c r="D104" s="113">
        <f>+D21-D102</f>
        <v>-4180.4999999999854</v>
      </c>
      <c r="E104" s="120">
        <f>+E21-E102</f>
        <v>263377.80899999943</v>
      </c>
      <c r="F104" s="120"/>
      <c r="G104" s="381"/>
      <c r="H104" s="113">
        <f>+H21-H102</f>
        <v>-92669.708878875026</v>
      </c>
      <c r="I104" s="120">
        <f>+I21-I102</f>
        <v>170708.10012112372</v>
      </c>
      <c r="J104" s="120"/>
      <c r="K104" s="120">
        <f>+K21-K102</f>
        <v>-57388.700064198696</v>
      </c>
      <c r="L104" s="113">
        <f>+L21-L102</f>
        <v>4809.2554484712164</v>
      </c>
      <c r="M104" s="113">
        <f>+M21-M102</f>
        <v>3639.1304220487655</v>
      </c>
      <c r="N104" s="120">
        <f>+N21-N102</f>
        <v>121767.78592744516</v>
      </c>
      <c r="O104" s="391"/>
      <c r="P104" s="391"/>
      <c r="R104" s="391"/>
      <c r="S104" s="18"/>
      <c r="T104" s="391"/>
      <c r="U104" s="18"/>
      <c r="V104" s="391"/>
    </row>
    <row r="105" spans="1:25">
      <c r="C105" s="6"/>
      <c r="D105" s="6"/>
      <c r="E105" s="6"/>
      <c r="F105" s="6"/>
      <c r="I105" s="6"/>
      <c r="J105" s="6"/>
      <c r="R105" s="18"/>
      <c r="S105" s="18"/>
      <c r="T105" s="18"/>
      <c r="U105" s="18"/>
      <c r="V105" s="18"/>
    </row>
    <row r="106" spans="1:25">
      <c r="B106" t="s">
        <v>102</v>
      </c>
      <c r="C106" s="10">
        <f>+C102/C21</f>
        <v>0.91513296165913749</v>
      </c>
      <c r="D106" s="10"/>
      <c r="E106" s="10">
        <f>+E102/E21</f>
        <v>0.91648595781523279</v>
      </c>
      <c r="F106" s="10"/>
      <c r="I106" s="10">
        <f>+I102/I21</f>
        <v>0.94593434617245753</v>
      </c>
      <c r="J106" s="10"/>
      <c r="K106" s="10">
        <f>+K102/K21</f>
        <v>0.85814237387706516</v>
      </c>
      <c r="L106" s="10">
        <f>+L102/L21</f>
        <v>1.1014799255657426</v>
      </c>
      <c r="M106" s="10">
        <f>+M102/M21</f>
        <v>1.0472361902963385</v>
      </c>
      <c r="R106" s="10"/>
      <c r="T106" s="10"/>
      <c r="V106" s="10"/>
    </row>
    <row r="107" spans="1:25">
      <c r="C107" s="6"/>
    </row>
    <row r="108" spans="1:25">
      <c r="B108" t="s">
        <v>103</v>
      </c>
      <c r="C108" s="114">
        <f>+'General Data'!$D$26</f>
        <v>1163216.9069047619</v>
      </c>
      <c r="D108" s="112"/>
      <c r="E108" s="112">
        <f>+C108</f>
        <v>1163216.9069047619</v>
      </c>
      <c r="F108" s="112"/>
      <c r="G108" s="112"/>
      <c r="H108" s="112"/>
      <c r="I108" s="112">
        <f>+E108</f>
        <v>1163216.9069047619</v>
      </c>
      <c r="J108" s="112"/>
      <c r="K108" s="419"/>
      <c r="L108" s="419"/>
      <c r="M108" s="419"/>
      <c r="N108" s="72">
        <f>'Depr Allocation'!AD36</f>
        <v>1010449.3335363776</v>
      </c>
    </row>
    <row r="109" spans="1:25">
      <c r="K109" s="51">
        <f>+'Depr Allocation'!N14+'Depr Allocation'!N16</f>
        <v>0.11987050962108203</v>
      </c>
      <c r="L109" s="51">
        <f>'Depr Allocation'!N40</f>
        <v>3.4687306940754475E-2</v>
      </c>
      <c r="M109" s="51">
        <f>'Depr Allocation'!N38</f>
        <v>1.6582138850011995E-2</v>
      </c>
    </row>
  </sheetData>
  <mergeCells count="4">
    <mergeCell ref="K5:M5"/>
    <mergeCell ref="Q7:R7"/>
    <mergeCell ref="S7:T7"/>
    <mergeCell ref="U7:V7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opLeftCell="A7" workbookViewId="0">
      <selection activeCell="E4" sqref="E4"/>
    </sheetView>
  </sheetViews>
  <sheetFormatPr defaultRowHeight="12.75"/>
  <cols>
    <col min="1" max="1" width="10.140625" bestFit="1" customWidth="1"/>
    <col min="7" max="7" width="11.140625" customWidth="1"/>
    <col min="8" max="8" width="10.28515625" customWidth="1"/>
    <col min="9" max="9" width="11.28515625" bestFit="1" customWidth="1"/>
  </cols>
  <sheetData>
    <row r="1" spans="1:9">
      <c r="A1" t="s">
        <v>0</v>
      </c>
    </row>
    <row r="3" spans="1:9">
      <c r="A3" t="s">
        <v>199</v>
      </c>
      <c r="D3" s="643" t="s">
        <v>1343</v>
      </c>
      <c r="E3" s="643" t="s">
        <v>689</v>
      </c>
    </row>
    <row r="5" spans="1:9">
      <c r="A5" s="666" t="s">
        <v>1434</v>
      </c>
    </row>
    <row r="9" spans="1:9">
      <c r="A9" s="1" t="s">
        <v>200</v>
      </c>
      <c r="B9" t="s">
        <v>201</v>
      </c>
    </row>
    <row r="10" spans="1:9">
      <c r="I10" s="6"/>
    </row>
    <row r="11" spans="1:9">
      <c r="D11" t="s">
        <v>84</v>
      </c>
      <c r="I11" s="6">
        <f>+'Results of Operations Staff '!C85</f>
        <v>257926</v>
      </c>
    </row>
    <row r="12" spans="1:9">
      <c r="D12" t="s">
        <v>202</v>
      </c>
      <c r="I12" s="611">
        <f>DEPN2K!$T$354</f>
        <v>268839</v>
      </c>
    </row>
    <row r="13" spans="1:9" ht="13.5" thickBot="1">
      <c r="D13" t="s">
        <v>89</v>
      </c>
      <c r="I13" s="45">
        <f>+I11-I12</f>
        <v>-10913</v>
      </c>
    </row>
    <row r="14" spans="1:9" ht="13.5" thickTop="1">
      <c r="I14" s="6"/>
    </row>
    <row r="15" spans="1:9">
      <c r="I15" s="6"/>
    </row>
    <row r="16" spans="1:9">
      <c r="A16" s="1" t="s">
        <v>203</v>
      </c>
      <c r="B16" t="s">
        <v>204</v>
      </c>
      <c r="I16" s="6"/>
    </row>
    <row r="17" spans="1:17">
      <c r="I17" s="6"/>
    </row>
    <row r="18" spans="1:17">
      <c r="D18" t="s">
        <v>84</v>
      </c>
      <c r="I18" s="6">
        <f>+'Results of Operations Staff '!C86</f>
        <v>0</v>
      </c>
    </row>
    <row r="19" spans="1:17">
      <c r="D19" t="s">
        <v>202</v>
      </c>
      <c r="I19" s="44">
        <f>K25</f>
        <v>-5714</v>
      </c>
    </row>
    <row r="20" spans="1:17" ht="13.5" thickBot="1">
      <c r="D20" t="s">
        <v>89</v>
      </c>
      <c r="I20" s="45">
        <f>+I18-I19</f>
        <v>5714</v>
      </c>
    </row>
    <row r="21" spans="1:17" ht="13.5" thickTop="1">
      <c r="I21" s="82"/>
    </row>
    <row r="22" spans="1:17">
      <c r="B22" s="643" t="s">
        <v>1344</v>
      </c>
    </row>
    <row r="23" spans="1:17">
      <c r="B23" s="643"/>
      <c r="G23" s="647" t="s">
        <v>1348</v>
      </c>
      <c r="H23" s="647" t="s">
        <v>1345</v>
      </c>
      <c r="I23" s="647" t="s">
        <v>2</v>
      </c>
      <c r="J23" s="642" t="s">
        <v>1349</v>
      </c>
    </row>
    <row r="24" spans="1:17">
      <c r="B24" s="643"/>
      <c r="G24" s="671" t="s">
        <v>1347</v>
      </c>
      <c r="H24" s="671" t="s">
        <v>1346</v>
      </c>
      <c r="I24" s="671" t="s">
        <v>1091</v>
      </c>
      <c r="J24" s="76">
        <v>2020</v>
      </c>
      <c r="K24" s="76">
        <v>2021</v>
      </c>
      <c r="L24" s="76">
        <v>2022</v>
      </c>
      <c r="M24" s="76">
        <v>2023</v>
      </c>
      <c r="N24" s="76">
        <v>2024</v>
      </c>
      <c r="O24" s="76">
        <v>2025</v>
      </c>
      <c r="P24" s="76">
        <v>2026</v>
      </c>
      <c r="Q24" s="76">
        <v>2027</v>
      </c>
    </row>
    <row r="25" spans="1:17">
      <c r="B25" s="643" t="s">
        <v>1350</v>
      </c>
      <c r="C25" s="643"/>
      <c r="G25" s="172">
        <v>44165</v>
      </c>
      <c r="H25">
        <v>7</v>
      </c>
      <c r="I25" s="107">
        <f>-DEPN2K!AQ19</f>
        <v>-40000</v>
      </c>
      <c r="J25" s="107">
        <v>-476</v>
      </c>
      <c r="K25" s="107">
        <v>-5714</v>
      </c>
      <c r="L25" s="107">
        <v>-5714</v>
      </c>
      <c r="M25" s="107">
        <v>-5714</v>
      </c>
      <c r="N25" s="107">
        <v>-5714</v>
      </c>
      <c r="O25" s="107">
        <v>-5714</v>
      </c>
      <c r="P25" s="107">
        <v>-5714</v>
      </c>
      <c r="Q25" s="107">
        <v>-5240</v>
      </c>
    </row>
    <row r="26" spans="1:17">
      <c r="I26" s="6"/>
    </row>
    <row r="27" spans="1:17">
      <c r="I27" s="6"/>
    </row>
    <row r="28" spans="1:17">
      <c r="A28" s="1" t="s">
        <v>255</v>
      </c>
      <c r="B28" t="s">
        <v>287</v>
      </c>
      <c r="I28" s="6">
        <f>+'Fuel Summary'!$P$57</f>
        <v>0</v>
      </c>
    </row>
    <row r="31" spans="1:17">
      <c r="A31" s="1" t="s">
        <v>256</v>
      </c>
      <c r="B31" t="s">
        <v>257</v>
      </c>
    </row>
    <row r="32" spans="1:17">
      <c r="F32">
        <v>3310</v>
      </c>
      <c r="G32" t="s">
        <v>151</v>
      </c>
      <c r="I32" s="6">
        <f>+'Results of Operations Staff '!C15</f>
        <v>364912.47</v>
      </c>
    </row>
    <row r="33" spans="1:9">
      <c r="F33">
        <v>4361</v>
      </c>
      <c r="G33" t="s">
        <v>258</v>
      </c>
      <c r="I33" s="6">
        <f>-'Results of Operations Staff '!C52</f>
        <v>-255383.11</v>
      </c>
    </row>
    <row r="34" spans="1:9">
      <c r="F34">
        <v>4363</v>
      </c>
      <c r="G34" t="s">
        <v>258</v>
      </c>
      <c r="I34" s="43">
        <f>-'Results of Operations Staff '!C54</f>
        <v>-110547.86</v>
      </c>
    </row>
    <row r="36" spans="1:9">
      <c r="G36" t="s">
        <v>259</v>
      </c>
      <c r="I36" s="6">
        <f>SUM(I32:I34)</f>
        <v>-1018.5000000000146</v>
      </c>
    </row>
    <row r="38" spans="1:9">
      <c r="A38" s="651" t="s">
        <v>267</v>
      </c>
      <c r="B38" s="643"/>
    </row>
    <row r="39" spans="1:9">
      <c r="B39" s="643"/>
      <c r="I39" s="79"/>
    </row>
  </sheetData>
  <phoneticPr fontId="0" type="noConversion"/>
  <pageMargins left="0.28999999999999998" right="0.3" top="0.49" bottom="1" header="0.5" footer="0.5"/>
  <pageSetup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6"/>
  <sheetViews>
    <sheetView topLeftCell="A61" workbookViewId="0">
      <selection activeCell="I90" sqref="I90"/>
    </sheetView>
  </sheetViews>
  <sheetFormatPr defaultRowHeight="12.75"/>
  <cols>
    <col min="1" max="1" width="10.140625" bestFit="1" customWidth="1"/>
    <col min="3" max="3" width="8.85546875" customWidth="1"/>
    <col min="7" max="7" width="10.7109375" customWidth="1"/>
    <col min="8" max="8" width="13.28515625" customWidth="1"/>
    <col min="9" max="9" width="13.42578125" customWidth="1"/>
    <col min="10" max="10" width="10.85546875" bestFit="1" customWidth="1"/>
    <col min="11" max="17" width="9.85546875" bestFit="1" customWidth="1"/>
  </cols>
  <sheetData>
    <row r="1" spans="1:8">
      <c r="A1" t="s">
        <v>0</v>
      </c>
    </row>
    <row r="3" spans="1:8">
      <c r="A3" t="s">
        <v>254</v>
      </c>
      <c r="D3" s="643" t="s">
        <v>1342</v>
      </c>
      <c r="E3" s="643" t="s">
        <v>689</v>
      </c>
    </row>
    <row r="5" spans="1:8">
      <c r="A5" s="55">
        <v>44834</v>
      </c>
    </row>
    <row r="9" spans="1:8">
      <c r="A9" s="1" t="s">
        <v>200</v>
      </c>
      <c r="B9" t="s">
        <v>260</v>
      </c>
    </row>
    <row r="10" spans="1:8">
      <c r="F10" t="s">
        <v>261</v>
      </c>
      <c r="G10">
        <f>'Wage Summary'!P39</f>
        <v>4213</v>
      </c>
      <c r="H10" s="63">
        <f>+'Wage Summary'!$Q$39</f>
        <v>11884.589999999997</v>
      </c>
    </row>
    <row r="11" spans="1:8">
      <c r="F11" t="s">
        <v>262</v>
      </c>
      <c r="G11">
        <f>'Wage Summary'!P40</f>
        <v>4215</v>
      </c>
      <c r="H11" s="53">
        <f>+'Wage Summary'!$Q$40</f>
        <v>-379.15999999999985</v>
      </c>
    </row>
    <row r="12" spans="1:8">
      <c r="F12" s="83" t="s">
        <v>340</v>
      </c>
      <c r="G12">
        <f>'Wage Summary'!P41</f>
        <v>4222</v>
      </c>
      <c r="H12" s="53">
        <f>+'Wage Summary'!$Q$41</f>
        <v>-285.88000000000011</v>
      </c>
    </row>
    <row r="13" spans="1:8">
      <c r="F13" t="s">
        <v>296</v>
      </c>
      <c r="G13">
        <f>'Wage Summary'!P42</f>
        <v>4611</v>
      </c>
      <c r="H13" s="53">
        <f>+'Wage Summary'!$Q$42</f>
        <v>1000</v>
      </c>
    </row>
    <row r="14" spans="1:8">
      <c r="F14" t="s">
        <v>194</v>
      </c>
      <c r="G14">
        <f>'Wage Summary'!P43</f>
        <v>4612</v>
      </c>
      <c r="H14" s="53">
        <f>+'Wage Summary'!$Q$43</f>
        <v>38858.43</v>
      </c>
    </row>
    <row r="15" spans="1:8">
      <c r="F15" t="s">
        <v>194</v>
      </c>
      <c r="G15">
        <f>'Wage Summary'!P44</f>
        <v>4613</v>
      </c>
      <c r="H15" s="57">
        <f>+'Wage Summary'!$Q$44</f>
        <v>-6928.570000000007</v>
      </c>
    </row>
    <row r="16" spans="1:8" ht="13.5" thickBot="1">
      <c r="H16" s="64">
        <f>SUM(H10:H15)</f>
        <v>44149.409999999989</v>
      </c>
    </row>
    <row r="17" spans="1:13" ht="13.5" thickTop="1"/>
    <row r="19" spans="1:13">
      <c r="A19" s="1" t="s">
        <v>203</v>
      </c>
      <c r="B19" t="s">
        <v>263</v>
      </c>
      <c r="H19" s="56">
        <f>+'L&amp;I'!$G$37</f>
        <v>-303.27364999999867</v>
      </c>
    </row>
    <row r="21" spans="1:13">
      <c r="A21" s="1" t="s">
        <v>255</v>
      </c>
      <c r="B21" t="s">
        <v>264</v>
      </c>
      <c r="H21" s="56">
        <f>+'Health Insurance'!$F$28</f>
        <v>26538.080000000002</v>
      </c>
    </row>
    <row r="23" spans="1:13">
      <c r="A23" s="1" t="s">
        <v>256</v>
      </c>
      <c r="B23" t="s">
        <v>265</v>
      </c>
    </row>
    <row r="25" spans="1:13">
      <c r="F25" s="58">
        <v>0.8</v>
      </c>
      <c r="H25" t="s">
        <v>89</v>
      </c>
    </row>
    <row r="26" spans="1:13">
      <c r="B26" s="245" t="s">
        <v>1422</v>
      </c>
      <c r="C26" s="65"/>
      <c r="D26" s="65"/>
      <c r="E26" s="66">
        <v>0</v>
      </c>
      <c r="F26" s="53">
        <f>+E26*F25</f>
        <v>0</v>
      </c>
      <c r="J26" s="612">
        <v>6940</v>
      </c>
      <c r="K26" s="613" t="s">
        <v>1154</v>
      </c>
      <c r="L26" s="613"/>
      <c r="M26" s="613"/>
    </row>
    <row r="27" spans="1:13">
      <c r="B27" t="s">
        <v>266</v>
      </c>
      <c r="E27" s="57">
        <v>0</v>
      </c>
      <c r="F27" s="57">
        <f>+E27*F25</f>
        <v>0</v>
      </c>
      <c r="H27" s="6">
        <f>+F27-E27</f>
        <v>0</v>
      </c>
      <c r="J27" s="614">
        <v>1000</v>
      </c>
      <c r="K27" s="613" t="s">
        <v>1155</v>
      </c>
      <c r="L27" s="613"/>
      <c r="M27" s="613"/>
    </row>
    <row r="28" spans="1:13">
      <c r="B28" t="s">
        <v>259</v>
      </c>
      <c r="E28" s="53">
        <f>+E26-E27</f>
        <v>0</v>
      </c>
      <c r="F28" s="53">
        <f>+E28*F25</f>
        <v>0</v>
      </c>
      <c r="H28" s="43">
        <f>+F28-E28</f>
        <v>0</v>
      </c>
      <c r="J28" s="615">
        <f>J26-J27</f>
        <v>5940</v>
      </c>
      <c r="K28" s="613" t="s">
        <v>1271</v>
      </c>
      <c r="L28" s="613"/>
      <c r="M28" s="613"/>
    </row>
    <row r="29" spans="1:13">
      <c r="H29" s="56">
        <f>+H27+H28</f>
        <v>0</v>
      </c>
      <c r="J29" s="616">
        <f>J28*0.8</f>
        <v>4752</v>
      </c>
      <c r="K29" s="617">
        <v>0.8</v>
      </c>
      <c r="L29" s="613"/>
      <c r="M29" s="613"/>
    </row>
    <row r="30" spans="1:13">
      <c r="H30" s="6"/>
      <c r="J30" s="615">
        <f>J28-J29</f>
        <v>1188</v>
      </c>
      <c r="K30" s="613" t="s">
        <v>89</v>
      </c>
      <c r="L30" s="613"/>
      <c r="M30" s="613"/>
    </row>
    <row r="32" spans="1:13">
      <c r="A32" s="1" t="s">
        <v>267</v>
      </c>
      <c r="B32" t="s">
        <v>268</v>
      </c>
    </row>
    <row r="33" spans="1:9">
      <c r="C33" t="s">
        <v>269</v>
      </c>
      <c r="H33" s="67">
        <v>-1000</v>
      </c>
    </row>
    <row r="36" spans="1:9">
      <c r="A36" s="1" t="s">
        <v>270</v>
      </c>
      <c r="B36" t="s">
        <v>271</v>
      </c>
    </row>
    <row r="38" spans="1:9">
      <c r="B38" t="s">
        <v>112</v>
      </c>
      <c r="H38" s="56">
        <f>+'City Contracts'!$H$27</f>
        <v>2774.2852500000154</v>
      </c>
    </row>
    <row r="39" spans="1:9">
      <c r="B39" t="s">
        <v>109</v>
      </c>
      <c r="H39" s="56">
        <f>+'City Contracts'!$I$27</f>
        <v>953.09640000000945</v>
      </c>
    </row>
    <row r="42" spans="1:9">
      <c r="A42" s="1" t="s">
        <v>272</v>
      </c>
      <c r="B42" t="s">
        <v>273</v>
      </c>
      <c r="H42" s="75">
        <f>+'Results of Operations Staff '!H21</f>
        <v>3727.3816500000248</v>
      </c>
    </row>
    <row r="43" spans="1:9">
      <c r="A43" s="1"/>
      <c r="H43" s="670">
        <f>'General Data'!E10</f>
        <v>1.7500000000000002E-2</v>
      </c>
    </row>
    <row r="44" spans="1:9">
      <c r="A44" s="1"/>
      <c r="I44" s="63">
        <f>+H42*H43</f>
        <v>65.229178875000443</v>
      </c>
    </row>
    <row r="47" spans="1:9">
      <c r="A47" s="1" t="s">
        <v>286</v>
      </c>
      <c r="B47" s="83" t="s">
        <v>354</v>
      </c>
      <c r="H47" s="98">
        <f>'Disposal Fees'!$E$34</f>
        <v>23110.190000000061</v>
      </c>
    </row>
    <row r="48" spans="1:9">
      <c r="B48" s="83" t="s">
        <v>355</v>
      </c>
      <c r="H48" s="98">
        <f>'Disposal Fees'!$G$63</f>
        <v>0</v>
      </c>
    </row>
    <row r="50" spans="1:8">
      <c r="A50" s="1" t="s">
        <v>299</v>
      </c>
      <c r="B50" t="s">
        <v>300</v>
      </c>
    </row>
    <row r="51" spans="1:8">
      <c r="C51" t="s">
        <v>302</v>
      </c>
    </row>
    <row r="52" spans="1:8">
      <c r="D52" t="s">
        <v>301</v>
      </c>
      <c r="G52" s="56">
        <f>'Previous rate increases'!I78</f>
        <v>0</v>
      </c>
    </row>
    <row r="53" spans="1:8">
      <c r="D53" t="s">
        <v>303</v>
      </c>
      <c r="G53" s="56">
        <f>'Previous rate increases'!Q78</f>
        <v>0</v>
      </c>
    </row>
    <row r="54" spans="1:8" ht="13.5" thickBot="1">
      <c r="D54" t="s">
        <v>304</v>
      </c>
      <c r="G54" s="69">
        <f>'Previous rate increases'!Y78</f>
        <v>0</v>
      </c>
      <c r="H54" s="69">
        <f>SUM(G52:G54)</f>
        <v>0</v>
      </c>
    </row>
    <row r="57" spans="1:8">
      <c r="C57" t="s">
        <v>305</v>
      </c>
    </row>
    <row r="58" spans="1:8">
      <c r="D58" t="s">
        <v>301</v>
      </c>
      <c r="G58" s="6">
        <f>'Previous rate increases'!I79</f>
        <v>0</v>
      </c>
    </row>
    <row r="59" spans="1:8">
      <c r="D59" t="s">
        <v>303</v>
      </c>
      <c r="G59" s="6">
        <f>'Previous rate increases'!Q79</f>
        <v>0</v>
      </c>
    </row>
    <row r="60" spans="1:8" ht="13.5" thickBot="1">
      <c r="D60" t="s">
        <v>304</v>
      </c>
      <c r="G60" s="7">
        <f>'Previous rate increases'!Y79</f>
        <v>0</v>
      </c>
      <c r="H60" s="7">
        <f>SUM(G58:G60)</f>
        <v>0</v>
      </c>
    </row>
    <row r="63" spans="1:8">
      <c r="A63" s="1" t="s">
        <v>306</v>
      </c>
      <c r="B63" t="s">
        <v>307</v>
      </c>
    </row>
    <row r="65" spans="1:9">
      <c r="C65" t="s">
        <v>308</v>
      </c>
      <c r="H65" s="72">
        <f>+'Fuel Proforma'!$Q$66</f>
        <v>0</v>
      </c>
    </row>
    <row r="66" spans="1:9">
      <c r="H66" s="72"/>
    </row>
    <row r="67" spans="1:9">
      <c r="C67" t="s">
        <v>309</v>
      </c>
      <c r="H67" s="72">
        <f>+'Fuel Proforma'!$Q$80</f>
        <v>0</v>
      </c>
    </row>
    <row r="71" spans="1:9">
      <c r="A71" s="1" t="s">
        <v>311</v>
      </c>
      <c r="B71" t="s">
        <v>316</v>
      </c>
      <c r="H71" s="72">
        <f>+'Employment Security'!$D$44</f>
        <v>613.375</v>
      </c>
    </row>
    <row r="74" spans="1:9">
      <c r="A74" s="1" t="s">
        <v>311</v>
      </c>
      <c r="B74" s="83" t="s">
        <v>369</v>
      </c>
      <c r="F74" s="83" t="s">
        <v>371</v>
      </c>
      <c r="H74" s="72">
        <f>Rent!$F$23</f>
        <v>4440</v>
      </c>
    </row>
    <row r="75" spans="1:9">
      <c r="F75" s="83" t="s">
        <v>372</v>
      </c>
      <c r="H75" s="72">
        <f>Rent!$F$35</f>
        <v>1052</v>
      </c>
    </row>
    <row r="77" spans="1:9">
      <c r="A77" s="109" t="s">
        <v>1277</v>
      </c>
      <c r="B77" s="83" t="s">
        <v>1278</v>
      </c>
    </row>
    <row r="79" spans="1:9">
      <c r="C79" s="643" t="s">
        <v>1482</v>
      </c>
      <c r="I79" s="72">
        <v>-3353.55</v>
      </c>
    </row>
    <row r="81" spans="1:10">
      <c r="C81" s="643" t="s">
        <v>1477</v>
      </c>
      <c r="H81" s="107">
        <v>42</v>
      </c>
    </row>
    <row r="82" spans="1:10">
      <c r="C82" s="83" t="s">
        <v>1279</v>
      </c>
      <c r="H82" s="632">
        <v>1100</v>
      </c>
    </row>
    <row r="83" spans="1:10">
      <c r="C83" s="109" t="s">
        <v>1280</v>
      </c>
      <c r="H83" s="107">
        <f>+H81*H82</f>
        <v>46200</v>
      </c>
    </row>
    <row r="84" spans="1:10">
      <c r="C84" s="83" t="s">
        <v>1281</v>
      </c>
      <c r="H84" s="632">
        <v>2000</v>
      </c>
    </row>
    <row r="85" spans="1:10">
      <c r="C85" s="109" t="s">
        <v>1282</v>
      </c>
      <c r="H85" s="631">
        <f>+H83/H84</f>
        <v>23.1</v>
      </c>
    </row>
    <row r="86" spans="1:10">
      <c r="C86" s="83" t="s">
        <v>1283</v>
      </c>
      <c r="H86" s="732">
        <v>180</v>
      </c>
    </row>
    <row r="87" spans="1:10">
      <c r="H87" s="107"/>
    </row>
    <row r="88" spans="1:10" ht="13.5" thickBot="1">
      <c r="C88" s="109" t="s">
        <v>1284</v>
      </c>
      <c r="H88" s="633">
        <f>+H85*H86</f>
        <v>4158</v>
      </c>
      <c r="I88" s="80">
        <f>+H88</f>
        <v>4158</v>
      </c>
    </row>
    <row r="89" spans="1:10" ht="13.5" thickTop="1">
      <c r="C89" s="109"/>
      <c r="H89" s="771"/>
    </row>
    <row r="90" spans="1:10">
      <c r="C90" s="651" t="s">
        <v>565</v>
      </c>
      <c r="H90" s="771"/>
      <c r="I90" s="47">
        <f>+I79+I88</f>
        <v>804.44999999999982</v>
      </c>
    </row>
    <row r="93" spans="1:10">
      <c r="A93" s="109" t="s">
        <v>1302</v>
      </c>
      <c r="B93" s="83" t="s">
        <v>1303</v>
      </c>
      <c r="G93" s="83" t="s">
        <v>2</v>
      </c>
      <c r="H93" s="73">
        <v>-26043</v>
      </c>
    </row>
    <row r="94" spans="1:10">
      <c r="G94">
        <v>2019</v>
      </c>
      <c r="H94" s="72">
        <f>+H93/3</f>
        <v>-8681</v>
      </c>
    </row>
    <row r="95" spans="1:10">
      <c r="G95">
        <v>2020</v>
      </c>
      <c r="H95" s="72">
        <f>+H93/3</f>
        <v>-8681</v>
      </c>
      <c r="I95" s="107"/>
      <c r="J95" s="73"/>
    </row>
    <row r="96" spans="1:10">
      <c r="G96">
        <v>2021</v>
      </c>
      <c r="H96" s="72">
        <f>+H93/3</f>
        <v>-8681</v>
      </c>
      <c r="I96" s="733" t="s">
        <v>1478</v>
      </c>
      <c r="J96" s="79">
        <f>+(H96*3)/12</f>
        <v>-2170.25</v>
      </c>
    </row>
  </sheetData>
  <phoneticPr fontId="0" type="noConversion"/>
  <pageMargins left="0.44" right="0.39" top="0.56000000000000005" bottom="1" header="0.5" footer="0.5"/>
  <pageSetup scale="78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6"/>
  <sheetViews>
    <sheetView topLeftCell="A76" workbookViewId="0">
      <selection activeCell="I4" sqref="I4"/>
    </sheetView>
  </sheetViews>
  <sheetFormatPr defaultRowHeight="12.75"/>
  <cols>
    <col min="1" max="1" width="5.42578125" customWidth="1"/>
    <col min="2" max="2" width="26.7109375" customWidth="1"/>
    <col min="3" max="3" width="14.140625" customWidth="1"/>
    <col min="4" max="4" width="3.5703125" customWidth="1"/>
    <col min="5" max="5" width="7.42578125" customWidth="1"/>
    <col min="6" max="6" width="12.28515625" customWidth="1"/>
    <col min="7" max="7" width="3.28515625" customWidth="1"/>
    <col min="9" max="9" width="11.140625" customWidth="1"/>
    <col min="10" max="10" width="3.42578125" customWidth="1"/>
    <col min="12" max="12" width="11.140625" customWidth="1"/>
    <col min="13" max="13" width="4.28515625" customWidth="1"/>
    <col min="14" max="14" width="12.5703125" customWidth="1"/>
    <col min="16" max="16" width="9.7109375" customWidth="1"/>
  </cols>
  <sheetData>
    <row r="1" spans="1:16">
      <c r="A1" t="s">
        <v>0</v>
      </c>
    </row>
    <row r="3" spans="1:16">
      <c r="A3" t="s">
        <v>475</v>
      </c>
      <c r="F3" s="643" t="s">
        <v>1342</v>
      </c>
      <c r="G3" s="643" t="s">
        <v>689</v>
      </c>
    </row>
    <row r="5" spans="1:16">
      <c r="A5" s="642" t="s">
        <v>1435</v>
      </c>
    </row>
    <row r="6" spans="1:16">
      <c r="A6" s="1"/>
      <c r="E6" s="786" t="s">
        <v>473</v>
      </c>
      <c r="F6" s="786"/>
      <c r="H6" s="786" t="s">
        <v>472</v>
      </c>
      <c r="I6" s="786"/>
      <c r="K6" s="786" t="s">
        <v>471</v>
      </c>
      <c r="L6" s="786"/>
    </row>
    <row r="7" spans="1:16">
      <c r="C7" s="2" t="s">
        <v>88</v>
      </c>
      <c r="E7" s="786" t="s">
        <v>105</v>
      </c>
      <c r="F7" s="786"/>
      <c r="H7" s="786" t="s">
        <v>105</v>
      </c>
      <c r="I7" s="786"/>
      <c r="K7" s="786" t="s">
        <v>105</v>
      </c>
      <c r="L7" s="786"/>
      <c r="N7" s="2" t="s">
        <v>2</v>
      </c>
      <c r="O7" s="2" t="s">
        <v>2</v>
      </c>
    </row>
    <row r="8" spans="1:16" ht="13.5" thickBot="1">
      <c r="C8" s="3" t="s">
        <v>93</v>
      </c>
      <c r="D8" s="3"/>
      <c r="E8" s="3" t="s">
        <v>106</v>
      </c>
      <c r="F8" s="3" t="s">
        <v>107</v>
      </c>
      <c r="G8" s="3"/>
      <c r="H8" s="3" t="s">
        <v>106</v>
      </c>
      <c r="I8" s="3" t="s">
        <v>107</v>
      </c>
      <c r="J8" s="3"/>
      <c r="K8" s="3" t="s">
        <v>106</v>
      </c>
      <c r="L8" s="3" t="s">
        <v>107</v>
      </c>
      <c r="M8" s="3"/>
      <c r="N8" s="3" t="s">
        <v>107</v>
      </c>
      <c r="O8" s="3" t="s">
        <v>106</v>
      </c>
    </row>
    <row r="9" spans="1:16" ht="13.5" thickTop="1"/>
    <row r="10" spans="1:16">
      <c r="A10" t="s">
        <v>3</v>
      </c>
    </row>
    <row r="11" spans="1:16">
      <c r="A11">
        <v>3100</v>
      </c>
      <c r="B11" t="s">
        <v>5</v>
      </c>
      <c r="C11" s="6">
        <f>+'Results of Operations Regulated'!C11</f>
        <v>2021399.1700000002</v>
      </c>
      <c r="E11" s="26">
        <f>+'Overhead Allocation'!$L$35</f>
        <v>0.77569522433609861</v>
      </c>
      <c r="F11" s="6">
        <f t="shared" ref="F11:F19" si="0">+C11*E11</f>
        <v>1567989.6826459537</v>
      </c>
      <c r="H11" s="11">
        <f>+'Overhead Allocation'!$L$36</f>
        <v>5.7363362081592213E-2</v>
      </c>
      <c r="I11" s="6">
        <f t="shared" ref="I11:I19" si="1">+C11*H11</f>
        <v>115954.25250013998</v>
      </c>
      <c r="K11" s="11">
        <f>+'Overhead Allocation'!L37</f>
        <v>0.16694141358230924</v>
      </c>
      <c r="L11" s="6">
        <f t="shared" ref="L11:L19" si="2">+C11*K11</f>
        <v>337455.23485390667</v>
      </c>
      <c r="M11" s="6"/>
      <c r="N11" s="6">
        <f t="shared" ref="N11:N19" si="3">+F11+I11+L11</f>
        <v>2021399.1700000004</v>
      </c>
      <c r="O11" s="11">
        <f t="shared" ref="O11:O19" si="4">+E11+H11+K11</f>
        <v>1</v>
      </c>
      <c r="P11" t="str">
        <f t="shared" ref="P11:P19" si="5">IF(O11&lt;&gt;1,"ERR"," ")</f>
        <v xml:space="preserve"> </v>
      </c>
    </row>
    <row r="12" spans="1:16">
      <c r="A12">
        <v>3112</v>
      </c>
      <c r="B12" t="s">
        <v>6</v>
      </c>
      <c r="C12" s="6">
        <f>+'Results of Operations Regulated'!C12</f>
        <v>0</v>
      </c>
      <c r="E12" s="15"/>
      <c r="F12" s="6">
        <f t="shared" si="0"/>
        <v>0</v>
      </c>
      <c r="H12" s="15"/>
      <c r="I12" s="6">
        <f t="shared" si="1"/>
        <v>0</v>
      </c>
      <c r="K12" s="11"/>
      <c r="L12" s="6">
        <f t="shared" si="2"/>
        <v>0</v>
      </c>
      <c r="M12" s="6"/>
      <c r="N12" s="6">
        <f t="shared" si="3"/>
        <v>0</v>
      </c>
      <c r="O12" s="11">
        <f t="shared" si="4"/>
        <v>0</v>
      </c>
      <c r="P12" t="str">
        <f t="shared" si="5"/>
        <v>ERR</v>
      </c>
    </row>
    <row r="13" spans="1:16">
      <c r="A13">
        <v>3114</v>
      </c>
      <c r="B13" t="s">
        <v>7</v>
      </c>
      <c r="C13" s="6">
        <f>+'Results of Operations Regulated'!C13</f>
        <v>0</v>
      </c>
      <c r="E13" s="15"/>
      <c r="F13" s="6">
        <f t="shared" si="0"/>
        <v>0</v>
      </c>
      <c r="H13" s="11"/>
      <c r="I13" s="6">
        <f t="shared" si="1"/>
        <v>0</v>
      </c>
      <c r="K13" s="15"/>
      <c r="L13" s="6">
        <f t="shared" si="2"/>
        <v>0</v>
      </c>
      <c r="M13" s="6"/>
      <c r="N13" s="6">
        <f t="shared" si="3"/>
        <v>0</v>
      </c>
      <c r="O13" s="11">
        <f t="shared" si="4"/>
        <v>0</v>
      </c>
      <c r="P13" t="str">
        <f t="shared" si="5"/>
        <v>ERR</v>
      </c>
    </row>
    <row r="14" spans="1:16">
      <c r="A14">
        <v>3300</v>
      </c>
      <c r="B14" t="s">
        <v>8</v>
      </c>
      <c r="C14" s="6">
        <f>+'Results of Operations Regulated'!C14</f>
        <v>241108.40100000001</v>
      </c>
      <c r="E14" s="26">
        <f>+'Drop Box Allocation'!$I$10</f>
        <v>0.43377433568657853</v>
      </c>
      <c r="F14" s="6">
        <f t="shared" si="0"/>
        <v>104586.63647222819</v>
      </c>
      <c r="H14" s="11">
        <f>+'Drop Box Allocation'!$I$11</f>
        <v>0.10870862785255932</v>
      </c>
      <c r="I14" s="6">
        <f t="shared" si="1"/>
        <v>26210.563436434641</v>
      </c>
      <c r="K14" s="11">
        <f>+'Drop Box Allocation'!I12</f>
        <v>0.45751703646086206</v>
      </c>
      <c r="L14" s="6">
        <f t="shared" si="2"/>
        <v>110311.20109133715</v>
      </c>
      <c r="M14" s="6"/>
      <c r="N14" s="6">
        <f t="shared" si="3"/>
        <v>241108.40099999995</v>
      </c>
      <c r="O14" s="11">
        <f t="shared" si="4"/>
        <v>0.99999999999999989</v>
      </c>
      <c r="P14" t="str">
        <f t="shared" si="5"/>
        <v xml:space="preserve"> </v>
      </c>
    </row>
    <row r="15" spans="1:16">
      <c r="A15">
        <v>3310</v>
      </c>
      <c r="B15" t="s">
        <v>9</v>
      </c>
      <c r="C15" s="6">
        <f>+'Results of Operations Regulated'!C15</f>
        <v>365930.97</v>
      </c>
      <c r="E15" s="26">
        <f>+'Drop Box Allocation'!$D$35</f>
        <v>0.70345771487988229</v>
      </c>
      <c r="F15" s="6">
        <f t="shared" si="0"/>
        <v>257416.96395997875</v>
      </c>
      <c r="H15" s="11">
        <f>+'Drop Box Allocation'!$D$36</f>
        <v>4.1168497420070074E-2</v>
      </c>
      <c r="I15" s="6">
        <f t="shared" si="1"/>
        <v>15064.828194368738</v>
      </c>
      <c r="K15" s="11">
        <f>+'Drop Box Allocation'!D37</f>
        <v>0.25537378770004754</v>
      </c>
      <c r="L15" s="6">
        <f t="shared" si="2"/>
        <v>93449.177845652463</v>
      </c>
      <c r="M15" s="6"/>
      <c r="N15" s="6">
        <f t="shared" si="3"/>
        <v>365930.96999999991</v>
      </c>
      <c r="O15" s="11">
        <f t="shared" si="4"/>
        <v>1</v>
      </c>
      <c r="P15" t="str">
        <f t="shared" si="5"/>
        <v xml:space="preserve"> </v>
      </c>
    </row>
    <row r="16" spans="1:16">
      <c r="A16" s="157">
        <v>3510</v>
      </c>
      <c r="B16" s="157" t="s">
        <v>327</v>
      </c>
      <c r="C16" s="158">
        <f>+'Results of Operations Regulated'!C16</f>
        <v>0</v>
      </c>
      <c r="D16" s="157"/>
      <c r="E16" s="88">
        <v>1</v>
      </c>
      <c r="F16" s="158">
        <f t="shared" si="0"/>
        <v>0</v>
      </c>
      <c r="G16" s="157"/>
      <c r="H16" s="88">
        <v>0</v>
      </c>
      <c r="I16" s="158">
        <f t="shared" si="1"/>
        <v>0</v>
      </c>
      <c r="J16" s="157"/>
      <c r="K16" s="88">
        <f>+'Drop Box Allocation'!D38</f>
        <v>0</v>
      </c>
      <c r="L16" s="158">
        <f t="shared" si="2"/>
        <v>0</v>
      </c>
      <c r="M16" s="158"/>
      <c r="N16" s="158">
        <f t="shared" si="3"/>
        <v>0</v>
      </c>
      <c r="O16" s="11">
        <f t="shared" si="4"/>
        <v>1</v>
      </c>
      <c r="P16" t="str">
        <f t="shared" si="5"/>
        <v xml:space="preserve"> </v>
      </c>
    </row>
    <row r="17" spans="1:16">
      <c r="A17" s="157">
        <v>3550</v>
      </c>
      <c r="B17" s="157" t="s">
        <v>328</v>
      </c>
      <c r="C17" s="158">
        <f>+'Results of Operations Regulated'!C17</f>
        <v>0</v>
      </c>
      <c r="D17" s="157"/>
      <c r="E17" s="88">
        <v>1</v>
      </c>
      <c r="F17" s="158">
        <f t="shared" si="0"/>
        <v>0</v>
      </c>
      <c r="G17" s="157"/>
      <c r="H17" s="88">
        <f>+'Drop Box Allocation'!$D$38</f>
        <v>0</v>
      </c>
      <c r="I17" s="158">
        <f t="shared" si="1"/>
        <v>0</v>
      </c>
      <c r="J17" s="157"/>
      <c r="K17" s="88">
        <v>0</v>
      </c>
      <c r="L17" s="158">
        <f t="shared" si="2"/>
        <v>0</v>
      </c>
      <c r="M17" s="158"/>
      <c r="N17" s="158">
        <f t="shared" si="3"/>
        <v>0</v>
      </c>
      <c r="O17" s="11">
        <f t="shared" si="4"/>
        <v>1</v>
      </c>
      <c r="P17" t="str">
        <f t="shared" si="5"/>
        <v xml:space="preserve"> </v>
      </c>
    </row>
    <row r="18" spans="1:16">
      <c r="A18" s="157">
        <v>3400</v>
      </c>
      <c r="B18" s="157" t="s">
        <v>10</v>
      </c>
      <c r="C18" s="158">
        <f>+'Results of Operations Regulated'!C18</f>
        <v>0</v>
      </c>
      <c r="D18" s="157"/>
      <c r="E18" s="88">
        <v>1</v>
      </c>
      <c r="F18" s="158">
        <f t="shared" si="0"/>
        <v>0</v>
      </c>
      <c r="G18" s="157"/>
      <c r="H18" s="88"/>
      <c r="I18" s="158">
        <f t="shared" si="1"/>
        <v>0</v>
      </c>
      <c r="J18" s="157"/>
      <c r="K18" s="88"/>
      <c r="L18" s="158">
        <f t="shared" si="2"/>
        <v>0</v>
      </c>
      <c r="M18" s="158"/>
      <c r="N18" s="158">
        <f t="shared" si="3"/>
        <v>0</v>
      </c>
      <c r="O18" s="11">
        <f t="shared" si="4"/>
        <v>1</v>
      </c>
      <c r="P18" t="str">
        <f t="shared" si="5"/>
        <v xml:space="preserve"> </v>
      </c>
    </row>
    <row r="19" spans="1:16" ht="13.5" thickBot="1">
      <c r="A19">
        <v>3500</v>
      </c>
      <c r="B19" t="s">
        <v>11</v>
      </c>
      <c r="C19" s="7">
        <f>+'Results of Operations Regulated'!C19</f>
        <v>0</v>
      </c>
      <c r="D19" s="5"/>
      <c r="E19" s="25">
        <v>1</v>
      </c>
      <c r="F19" s="7">
        <f t="shared" si="0"/>
        <v>0</v>
      </c>
      <c r="G19" s="5"/>
      <c r="H19" s="12"/>
      <c r="I19" s="7">
        <f t="shared" si="1"/>
        <v>0</v>
      </c>
      <c r="J19" s="5"/>
      <c r="K19" s="12"/>
      <c r="L19" s="7">
        <f t="shared" si="2"/>
        <v>0</v>
      </c>
      <c r="M19" s="7"/>
      <c r="N19" s="7">
        <f t="shared" si="3"/>
        <v>0</v>
      </c>
      <c r="O19" s="12">
        <f t="shared" si="4"/>
        <v>1</v>
      </c>
      <c r="P19" t="str">
        <f t="shared" si="5"/>
        <v xml:space="preserve"> </v>
      </c>
    </row>
    <row r="20" spans="1:16">
      <c r="C20" s="6"/>
      <c r="E20" s="11"/>
      <c r="H20" s="11"/>
      <c r="K20" s="11"/>
      <c r="O20" s="11"/>
    </row>
    <row r="21" spans="1:16" ht="13.5" thickBot="1">
      <c r="B21" t="s">
        <v>4</v>
      </c>
      <c r="C21" s="7">
        <f>SUM(C11:C19)</f>
        <v>2628438.5410000002</v>
      </c>
      <c r="D21" s="5"/>
      <c r="E21" s="12">
        <f>+F21/C21</f>
        <v>0.73427369633070694</v>
      </c>
      <c r="F21" s="7">
        <f>SUM(F11:F19)</f>
        <v>1929993.2830781606</v>
      </c>
      <c r="G21" s="5"/>
      <c r="H21" s="12">
        <f>+I21/C21</f>
        <v>5.9818649619680551E-2</v>
      </c>
      <c r="I21" s="7">
        <f>SUM(I11:I19)</f>
        <v>157229.64413094337</v>
      </c>
      <c r="J21" s="5"/>
      <c r="K21" s="12">
        <f>+L21/C21</f>
        <v>0.2059076540496125</v>
      </c>
      <c r="L21" s="7">
        <f>SUM(L11:L19)</f>
        <v>541215.61379089626</v>
      </c>
      <c r="M21" s="5"/>
      <c r="N21" s="7">
        <f>SUM(N11:N19)</f>
        <v>2628438.5410000002</v>
      </c>
      <c r="O21" s="12">
        <f>+E21+H21+K21</f>
        <v>1</v>
      </c>
    </row>
    <row r="22" spans="1:16">
      <c r="C22" s="6"/>
      <c r="E22" s="11"/>
      <c r="H22" s="11"/>
      <c r="K22" s="11"/>
      <c r="O22" s="11"/>
    </row>
    <row r="23" spans="1:16">
      <c r="A23" t="s">
        <v>12</v>
      </c>
      <c r="C23" s="6"/>
      <c r="E23" s="11"/>
      <c r="H23" s="11"/>
      <c r="K23" s="11"/>
      <c r="O23" s="11"/>
    </row>
    <row r="24" spans="1:16">
      <c r="A24" t="s">
        <v>13</v>
      </c>
      <c r="C24" s="6"/>
      <c r="E24" s="11"/>
      <c r="H24" s="11"/>
      <c r="K24" s="11"/>
      <c r="O24" s="11"/>
    </row>
    <row r="25" spans="1:16">
      <c r="A25">
        <v>4116</v>
      </c>
      <c r="B25" t="s">
        <v>29</v>
      </c>
      <c r="C25" s="6">
        <f>+'Results of Operations Regulated'!C25</f>
        <v>84340.379451253379</v>
      </c>
      <c r="E25" s="26">
        <f>+'Hours &amp; Miles by County'!$D$25</f>
        <v>0.77916197521708785</v>
      </c>
      <c r="F25" s="6">
        <f t="shared" ref="F25:F38" si="6">+C25*E25</f>
        <v>65714.816643797269</v>
      </c>
      <c r="H25" s="11">
        <f>+'Hours &amp; Miles by County'!$E$25</f>
        <v>7.6867423026312817E-2</v>
      </c>
      <c r="I25" s="6">
        <f t="shared" ref="I25:I38" si="7">+C25*H25</f>
        <v>6483.0276254792343</v>
      </c>
      <c r="K25" s="11">
        <f>+'Hours &amp; Miles by County'!F25</f>
        <v>0.14397060175659929</v>
      </c>
      <c r="L25" s="6">
        <f t="shared" ref="L25:L38" si="8">+C25*K25</f>
        <v>12142.535181976869</v>
      </c>
      <c r="N25" s="6">
        <f t="shared" ref="N25:N38" si="9">+F25+I25+L25</f>
        <v>84340.379451253379</v>
      </c>
      <c r="O25" s="11">
        <f t="shared" ref="O25:O38" si="10">+E25+H25+K25</f>
        <v>0.99999999999999989</v>
      </c>
      <c r="P25" t="str">
        <f t="shared" ref="P25:P38" si="11">IF(O25&lt;&gt;1,"ERR"," ")</f>
        <v xml:space="preserve"> </v>
      </c>
    </row>
    <row r="26" spans="1:16">
      <c r="A26">
        <v>4117</v>
      </c>
      <c r="B26" t="s">
        <v>277</v>
      </c>
      <c r="C26" s="6">
        <f>+'Results of Operations Regulated'!C26</f>
        <v>3554.75</v>
      </c>
      <c r="E26" s="26">
        <f>+$E$25</f>
        <v>0.77916197521708785</v>
      </c>
      <c r="F26" s="6">
        <f t="shared" si="6"/>
        <v>2769.7260314029431</v>
      </c>
      <c r="H26" s="11">
        <f>+'Hours &amp; Miles by County'!$E$25</f>
        <v>7.6867423026312817E-2</v>
      </c>
      <c r="I26" s="6">
        <f t="shared" si="7"/>
        <v>273.24447200278547</v>
      </c>
      <c r="K26" s="11">
        <f>+K25</f>
        <v>0.14397060175659929</v>
      </c>
      <c r="L26" s="6">
        <f t="shared" si="8"/>
        <v>511.77949659427134</v>
      </c>
      <c r="N26" s="6">
        <f t="shared" si="9"/>
        <v>3554.75</v>
      </c>
      <c r="O26" s="11">
        <f t="shared" si="10"/>
        <v>0.99999999999999989</v>
      </c>
      <c r="P26" t="str">
        <f t="shared" si="11"/>
        <v xml:space="preserve"> </v>
      </c>
    </row>
    <row r="27" spans="1:16">
      <c r="A27">
        <v>4118</v>
      </c>
      <c r="B27" t="s">
        <v>30</v>
      </c>
      <c r="C27" s="6">
        <f>+'Results of Operations Regulated'!C27</f>
        <v>2829.6183206106871</v>
      </c>
      <c r="E27" s="26">
        <f>ROUND(+'Container Count by County'!$K$22,3)</f>
        <v>0.82</v>
      </c>
      <c r="F27" s="6">
        <f t="shared" si="6"/>
        <v>2320.2870229007631</v>
      </c>
      <c r="H27" s="26">
        <f>ROUND(+'Container Count by County'!$K$24,3)</f>
        <v>0.04</v>
      </c>
      <c r="I27" s="6">
        <f t="shared" si="7"/>
        <v>113.18473282442748</v>
      </c>
      <c r="K27" s="27">
        <f>ROUND(+'Container Count by County'!K26,3)</f>
        <v>0.13</v>
      </c>
      <c r="L27" s="6">
        <f t="shared" si="8"/>
        <v>367.85038167938933</v>
      </c>
      <c r="N27" s="6">
        <f t="shared" si="9"/>
        <v>2801.3221374045797</v>
      </c>
      <c r="O27" s="11">
        <f t="shared" si="10"/>
        <v>0.99</v>
      </c>
      <c r="P27" t="str">
        <f t="shared" si="11"/>
        <v>ERR</v>
      </c>
    </row>
    <row r="28" spans="1:16">
      <c r="A28">
        <v>4120</v>
      </c>
      <c r="B28" t="s">
        <v>278</v>
      </c>
      <c r="C28" s="6">
        <f>+'Results of Operations Regulated'!C28</f>
        <v>140</v>
      </c>
      <c r="E28" s="26">
        <f>+$E$27</f>
        <v>0.82</v>
      </c>
      <c r="F28" s="6">
        <f t="shared" si="6"/>
        <v>114.8</v>
      </c>
      <c r="H28" s="26">
        <f>ROUND(+'Container Count by County'!$K$24,3)</f>
        <v>0.04</v>
      </c>
      <c r="I28" s="6">
        <f t="shared" si="7"/>
        <v>5.6000000000000005</v>
      </c>
      <c r="K28" s="27">
        <f>+K27</f>
        <v>0.13</v>
      </c>
      <c r="L28" s="6">
        <f t="shared" si="8"/>
        <v>18.2</v>
      </c>
      <c r="N28" s="6">
        <f t="shared" si="9"/>
        <v>138.6</v>
      </c>
      <c r="O28" s="11">
        <f t="shared" si="10"/>
        <v>0.99</v>
      </c>
      <c r="P28" t="str">
        <f t="shared" si="11"/>
        <v>ERR</v>
      </c>
    </row>
    <row r="29" spans="1:16">
      <c r="A29" s="157">
        <v>4122</v>
      </c>
      <c r="B29" s="157" t="s">
        <v>329</v>
      </c>
      <c r="C29" s="158">
        <f>+'Results of Operations Regulated'!C29</f>
        <v>0</v>
      </c>
      <c r="D29" s="157"/>
      <c r="E29" s="88">
        <f>+$E$28</f>
        <v>0.82</v>
      </c>
      <c r="F29" s="158">
        <f t="shared" si="6"/>
        <v>0</v>
      </c>
      <c r="G29" s="157"/>
      <c r="H29" s="88">
        <f>ROUND(+'Container Count by County'!$K$24,3)</f>
        <v>0.04</v>
      </c>
      <c r="I29" s="158">
        <f t="shared" si="7"/>
        <v>0</v>
      </c>
      <c r="J29" s="157"/>
      <c r="K29" s="88">
        <f>+K28</f>
        <v>0.13</v>
      </c>
      <c r="L29" s="158">
        <f t="shared" si="8"/>
        <v>0</v>
      </c>
      <c r="M29" s="157"/>
      <c r="N29" s="158">
        <f t="shared" si="9"/>
        <v>0</v>
      </c>
      <c r="O29" s="88">
        <f t="shared" si="10"/>
        <v>0.99</v>
      </c>
      <c r="P29" s="157" t="str">
        <f t="shared" si="11"/>
        <v>ERR</v>
      </c>
    </row>
    <row r="30" spans="1:16">
      <c r="A30">
        <v>4132</v>
      </c>
      <c r="B30" t="s">
        <v>31</v>
      </c>
      <c r="C30" s="6">
        <f>+'Results of Operations Regulated'!C30</f>
        <v>51247.294018989756</v>
      </c>
      <c r="E30" s="11">
        <f>+$E$25</f>
        <v>0.77916197521708785</v>
      </c>
      <c r="F30" s="6">
        <f t="shared" si="6"/>
        <v>39929.942832366913</v>
      </c>
      <c r="H30" s="11">
        <f>+'Hours &amp; Miles by County'!$E$25</f>
        <v>7.6867423026312817E-2</v>
      </c>
      <c r="I30" s="6">
        <f t="shared" si="7"/>
        <v>3939.2474283115162</v>
      </c>
      <c r="K30" s="11">
        <f>+K25</f>
        <v>0.14397060175659929</v>
      </c>
      <c r="L30" s="6">
        <f t="shared" si="8"/>
        <v>7378.1037583113266</v>
      </c>
      <c r="N30" s="6">
        <f t="shared" si="9"/>
        <v>51247.294018989756</v>
      </c>
      <c r="O30" s="11">
        <f t="shared" si="10"/>
        <v>0.99999999999999989</v>
      </c>
      <c r="P30" t="str">
        <f t="shared" si="11"/>
        <v xml:space="preserve"> </v>
      </c>
    </row>
    <row r="31" spans="1:16">
      <c r="A31">
        <v>4133</v>
      </c>
      <c r="B31" t="s">
        <v>279</v>
      </c>
      <c r="C31" s="6">
        <f>+'Results of Operations Regulated'!C31</f>
        <v>5382.42</v>
      </c>
      <c r="E31" s="11">
        <f>+$E$25</f>
        <v>0.77916197521708785</v>
      </c>
      <c r="F31" s="6">
        <f t="shared" si="6"/>
        <v>4193.776998647958</v>
      </c>
      <c r="H31" s="11">
        <f>+'Hours &amp; Miles by County'!$E$25</f>
        <v>7.6867423026312817E-2</v>
      </c>
      <c r="I31" s="6">
        <f t="shared" si="7"/>
        <v>413.73275504528664</v>
      </c>
      <c r="K31" s="11">
        <f>+K25</f>
        <v>0.14397060175659929</v>
      </c>
      <c r="L31" s="6">
        <f t="shared" si="8"/>
        <v>774.9102463067552</v>
      </c>
      <c r="N31" s="6">
        <f t="shared" si="9"/>
        <v>5382.42</v>
      </c>
      <c r="O31" s="11">
        <f t="shared" si="10"/>
        <v>0.99999999999999989</v>
      </c>
      <c r="P31" t="str">
        <f t="shared" si="11"/>
        <v xml:space="preserve"> </v>
      </c>
    </row>
    <row r="32" spans="1:16">
      <c r="A32">
        <v>4134</v>
      </c>
      <c r="B32" t="s">
        <v>32</v>
      </c>
      <c r="C32" s="6">
        <f>+'Results of Operations Regulated'!C32</f>
        <v>4335.7190839694658</v>
      </c>
      <c r="E32" s="11">
        <f>+$E$27</f>
        <v>0.82</v>
      </c>
      <c r="F32" s="6">
        <f t="shared" si="6"/>
        <v>3555.2896488549618</v>
      </c>
      <c r="H32" s="26">
        <f>ROUND(+'Container Count by County'!$K$24,3)</f>
        <v>0.04</v>
      </c>
      <c r="I32" s="6">
        <f t="shared" si="7"/>
        <v>173.42876335877864</v>
      </c>
      <c r="K32" s="11">
        <f>+K27</f>
        <v>0.13</v>
      </c>
      <c r="L32" s="6">
        <f t="shared" si="8"/>
        <v>563.64348091603063</v>
      </c>
      <c r="N32" s="6">
        <f t="shared" si="9"/>
        <v>4292.3618931297715</v>
      </c>
      <c r="O32" s="11">
        <f t="shared" si="10"/>
        <v>0.99</v>
      </c>
      <c r="P32" t="str">
        <f t="shared" si="11"/>
        <v>ERR</v>
      </c>
    </row>
    <row r="33" spans="1:16">
      <c r="A33">
        <v>4136</v>
      </c>
      <c r="B33" t="s">
        <v>280</v>
      </c>
      <c r="C33" s="6">
        <f>+'Results of Operations Regulated'!C33</f>
        <v>526.72</v>
      </c>
      <c r="E33" s="11">
        <f>+$E$27</f>
        <v>0.82</v>
      </c>
      <c r="F33" s="6">
        <f t="shared" si="6"/>
        <v>431.91039999999998</v>
      </c>
      <c r="H33" s="26">
        <f>ROUND(+'Container Count by County'!$K$24,3)</f>
        <v>0.04</v>
      </c>
      <c r="I33" s="6">
        <f t="shared" si="7"/>
        <v>21.068800000000003</v>
      </c>
      <c r="K33" s="11">
        <f>+K27</f>
        <v>0.13</v>
      </c>
      <c r="L33" s="6">
        <f t="shared" si="8"/>
        <v>68.473600000000005</v>
      </c>
      <c r="N33" s="6">
        <f t="shared" si="9"/>
        <v>521.45280000000002</v>
      </c>
      <c r="O33" s="11">
        <f t="shared" si="10"/>
        <v>0.99</v>
      </c>
      <c r="P33" t="str">
        <f t="shared" si="11"/>
        <v>ERR</v>
      </c>
    </row>
    <row r="34" spans="1:16">
      <c r="A34" s="157">
        <v>4138</v>
      </c>
      <c r="B34" s="157" t="s">
        <v>330</v>
      </c>
      <c r="C34" s="158">
        <f>+'Results of Operations Regulated'!C34</f>
        <v>0</v>
      </c>
      <c r="D34" s="157"/>
      <c r="E34" s="88">
        <f>+$E$28</f>
        <v>0.82</v>
      </c>
      <c r="F34" s="158">
        <f t="shared" si="6"/>
        <v>0</v>
      </c>
      <c r="G34" s="157"/>
      <c r="H34" s="88">
        <f>ROUND(+'Container Count by County'!$K$24,3)</f>
        <v>0.04</v>
      </c>
      <c r="I34" s="158">
        <f t="shared" si="7"/>
        <v>0</v>
      </c>
      <c r="J34" s="157"/>
      <c r="K34" s="88">
        <f>+K28</f>
        <v>0.13</v>
      </c>
      <c r="L34" s="158">
        <f t="shared" si="8"/>
        <v>0</v>
      </c>
      <c r="M34" s="157"/>
      <c r="N34" s="158">
        <f t="shared" si="9"/>
        <v>0</v>
      </c>
      <c r="O34" s="88">
        <f t="shared" si="10"/>
        <v>0.99</v>
      </c>
      <c r="P34" s="157" t="str">
        <f t="shared" si="11"/>
        <v>ERR</v>
      </c>
    </row>
    <row r="35" spans="1:16">
      <c r="A35">
        <v>4160</v>
      </c>
      <c r="B35" t="s">
        <v>33</v>
      </c>
      <c r="C35" s="6">
        <f>+'Results of Operations Regulated'!C35</f>
        <v>23995.173721388681</v>
      </c>
      <c r="E35" s="26">
        <f>+'Hours &amp; Miles by County'!$D$68</f>
        <v>0.69084107470656952</v>
      </c>
      <c r="F35" s="6">
        <f t="shared" si="6"/>
        <v>16576.851601454993</v>
      </c>
      <c r="H35" s="26">
        <f>+'Hours &amp; Miles by County'!$E$68</f>
        <v>8.8571508038048613E-2</v>
      </c>
      <c r="I35" s="6">
        <f t="shared" si="7"/>
        <v>2125.2887221383503</v>
      </c>
      <c r="K35" s="26">
        <f>+'Hours &amp; Miles by County'!F68</f>
        <v>0.22058741725538189</v>
      </c>
      <c r="L35" s="6">
        <f t="shared" si="8"/>
        <v>5293.0333977953396</v>
      </c>
      <c r="N35" s="6">
        <f t="shared" si="9"/>
        <v>23995.173721388681</v>
      </c>
      <c r="O35" s="11">
        <f t="shared" si="10"/>
        <v>1</v>
      </c>
      <c r="P35" t="str">
        <f t="shared" si="11"/>
        <v xml:space="preserve"> </v>
      </c>
    </row>
    <row r="36" spans="1:16">
      <c r="A36">
        <v>4162</v>
      </c>
      <c r="B36" t="s">
        <v>281</v>
      </c>
      <c r="C36" s="6">
        <f>+'Results of Operations Regulated'!C36</f>
        <v>3764.16</v>
      </c>
      <c r="E36" s="26">
        <f>+$E$35</f>
        <v>0.69084107470656952</v>
      </c>
      <c r="F36" s="6">
        <f t="shared" si="6"/>
        <v>2600.4363397674806</v>
      </c>
      <c r="H36" s="26">
        <f>+'Hours &amp; Miles by County'!$E$68</f>
        <v>8.8571508038048613E-2</v>
      </c>
      <c r="I36" s="6">
        <f t="shared" si="7"/>
        <v>333.39732769650107</v>
      </c>
      <c r="K36" s="26">
        <f>+K35</f>
        <v>0.22058741725538189</v>
      </c>
      <c r="L36" s="6">
        <f t="shared" si="8"/>
        <v>830.3263325360183</v>
      </c>
      <c r="N36" s="6">
        <f t="shared" si="9"/>
        <v>3764.16</v>
      </c>
      <c r="O36" s="11">
        <f t="shared" si="10"/>
        <v>1</v>
      </c>
      <c r="P36" t="str">
        <f t="shared" si="11"/>
        <v xml:space="preserve"> </v>
      </c>
    </row>
    <row r="37" spans="1:16">
      <c r="A37" s="157">
        <v>4164</v>
      </c>
      <c r="B37" s="157" t="s">
        <v>1275</v>
      </c>
      <c r="C37" s="158">
        <f>+'Results of Operations Regulated'!C37</f>
        <v>0</v>
      </c>
      <c r="D37" s="157"/>
      <c r="E37" s="88">
        <f>+$E$35</f>
        <v>0.69084107470656952</v>
      </c>
      <c r="F37" s="158">
        <f t="shared" ref="F37" si="12">+C37*E37</f>
        <v>0</v>
      </c>
      <c r="G37" s="157"/>
      <c r="H37" s="88">
        <f>+'Hours &amp; Miles by County'!$E$68</f>
        <v>8.8571508038048613E-2</v>
      </c>
      <c r="I37" s="158">
        <f t="shared" ref="I37" si="13">+C37*H37</f>
        <v>0</v>
      </c>
      <c r="J37" s="157"/>
      <c r="K37" s="88">
        <f>+K36</f>
        <v>0.22058741725538189</v>
      </c>
      <c r="L37" s="158">
        <f t="shared" ref="L37" si="14">+C37*K37</f>
        <v>0</v>
      </c>
      <c r="M37" s="157"/>
      <c r="N37" s="158">
        <f t="shared" ref="N37" si="15">+F37+I37+L37</f>
        <v>0</v>
      </c>
      <c r="O37" s="88">
        <f t="shared" ref="O37" si="16">+E37+H37+K37</f>
        <v>1</v>
      </c>
      <c r="P37" t="str">
        <f t="shared" ref="P37" si="17">IF(O37&lt;&gt;1,"ERR"," ")</f>
        <v xml:space="preserve"> </v>
      </c>
    </row>
    <row r="38" spans="1:16">
      <c r="A38">
        <v>4180</v>
      </c>
      <c r="B38" t="s">
        <v>34</v>
      </c>
      <c r="C38" s="6">
        <f>+'Results of Operations Regulated'!C38</f>
        <v>18004.893719435637</v>
      </c>
      <c r="E38" s="11">
        <f>+$E$25</f>
        <v>0.77916197521708785</v>
      </c>
      <c r="F38" s="6">
        <f t="shared" si="6"/>
        <v>14028.728554009211</v>
      </c>
      <c r="H38" s="11">
        <f>+'Hours &amp; Miles by County'!$E$25</f>
        <v>7.6867423026312817E-2</v>
      </c>
      <c r="I38" s="6">
        <f t="shared" si="7"/>
        <v>1383.9897820756619</v>
      </c>
      <c r="K38" s="11">
        <f>+K25</f>
        <v>0.14397060175659929</v>
      </c>
      <c r="L38" s="6">
        <f t="shared" si="8"/>
        <v>2592.1753833507637</v>
      </c>
      <c r="N38" s="6">
        <f t="shared" si="9"/>
        <v>18004.893719435637</v>
      </c>
      <c r="O38" s="11">
        <f t="shared" si="10"/>
        <v>0.99999999999999989</v>
      </c>
      <c r="P38" t="str">
        <f t="shared" si="11"/>
        <v xml:space="preserve"> </v>
      </c>
    </row>
    <row r="39" spans="1:16">
      <c r="A39" t="s">
        <v>16</v>
      </c>
      <c r="C39" s="6"/>
      <c r="E39" s="11"/>
      <c r="F39" s="6"/>
      <c r="H39" s="11"/>
      <c r="I39" s="6"/>
      <c r="K39" s="11"/>
      <c r="L39" s="6"/>
      <c r="N39" s="6"/>
      <c r="O39" s="11"/>
    </row>
    <row r="40" spans="1:16">
      <c r="A40">
        <v>4210</v>
      </c>
      <c r="B40" t="s">
        <v>35</v>
      </c>
      <c r="C40" s="6">
        <f>+'Results of Operations Regulated'!C40</f>
        <v>0</v>
      </c>
      <c r="E40" s="11">
        <f>+$E$25</f>
        <v>0.77916197521708785</v>
      </c>
      <c r="F40" s="6">
        <f t="shared" ref="F40:F49" si="18">+C40*E40</f>
        <v>0</v>
      </c>
      <c r="H40" s="11">
        <f>+'Hours &amp; Miles by County'!$E$25</f>
        <v>7.6867423026312817E-2</v>
      </c>
      <c r="I40" s="6">
        <f t="shared" ref="I40:I49" si="19">+C40*H40</f>
        <v>0</v>
      </c>
      <c r="K40" s="11">
        <f>+K25</f>
        <v>0.14397060175659929</v>
      </c>
      <c r="L40" s="6">
        <f t="shared" ref="L40:L49" si="20">+C40*K40</f>
        <v>0</v>
      </c>
      <c r="N40" s="6">
        <f t="shared" ref="N40:N49" si="21">+F40+I40+L40</f>
        <v>0</v>
      </c>
      <c r="O40" s="11">
        <f t="shared" ref="O40:O49" si="22">+E40+H40+K40</f>
        <v>0.99999999999999989</v>
      </c>
      <c r="P40" t="str">
        <f t="shared" ref="P40:P49" si="23">IF(O40&lt;&gt;1,"ERR"," ")</f>
        <v xml:space="preserve"> </v>
      </c>
    </row>
    <row r="41" spans="1:16">
      <c r="A41">
        <v>4213</v>
      </c>
      <c r="B41" t="s">
        <v>36</v>
      </c>
      <c r="C41" s="6">
        <f>+'Results of Operations Regulated'!C41</f>
        <v>293712.75198684493</v>
      </c>
      <c r="E41" s="11">
        <f>+$E$25</f>
        <v>0.77916197521708785</v>
      </c>
      <c r="F41" s="6">
        <f t="shared" si="18"/>
        <v>228849.80798451675</v>
      </c>
      <c r="H41" s="11">
        <f>+'Hours &amp; Miles by County'!$E$25</f>
        <v>7.6867423026312817E-2</v>
      </c>
      <c r="I41" s="6">
        <f t="shared" si="19"/>
        <v>22576.942355195311</v>
      </c>
      <c r="K41" s="11">
        <f>+K25</f>
        <v>0.14397060175659929</v>
      </c>
      <c r="L41" s="6">
        <f t="shared" si="20"/>
        <v>42286.001647132871</v>
      </c>
      <c r="N41" s="6">
        <f t="shared" si="21"/>
        <v>293712.75198684493</v>
      </c>
      <c r="O41" s="11">
        <f t="shared" si="22"/>
        <v>0.99999999999999989</v>
      </c>
      <c r="P41" t="str">
        <f t="shared" si="23"/>
        <v xml:space="preserve"> </v>
      </c>
    </row>
    <row r="42" spans="1:16">
      <c r="A42">
        <v>4215</v>
      </c>
      <c r="B42" t="s">
        <v>37</v>
      </c>
      <c r="C42" s="6">
        <f>+'Results of Operations Regulated'!C42</f>
        <v>41679.339999999997</v>
      </c>
      <c r="E42" s="26">
        <f>+$E$14</f>
        <v>0.43377433568657853</v>
      </c>
      <c r="F42" s="6">
        <f t="shared" si="18"/>
        <v>18079.428020355037</v>
      </c>
      <c r="H42" s="11">
        <f>+'Drop Box Allocation'!$I$11</f>
        <v>0.10870862785255932</v>
      </c>
      <c r="I42" s="6">
        <f t="shared" si="19"/>
        <v>4530.9038612002896</v>
      </c>
      <c r="K42" s="26">
        <f>+K14</f>
        <v>0.45751703646086206</v>
      </c>
      <c r="L42" s="6">
        <f t="shared" si="20"/>
        <v>19069.008118444664</v>
      </c>
      <c r="N42" s="6">
        <f t="shared" si="21"/>
        <v>41679.339999999997</v>
      </c>
      <c r="O42" s="11">
        <f t="shared" si="22"/>
        <v>0.99999999999999989</v>
      </c>
      <c r="P42" t="str">
        <f t="shared" si="23"/>
        <v xml:space="preserve"> </v>
      </c>
    </row>
    <row r="43" spans="1:16">
      <c r="A43">
        <v>4217</v>
      </c>
      <c r="B43" t="s">
        <v>284</v>
      </c>
      <c r="C43" s="6">
        <f>+'Results of Operations Regulated'!C43</f>
        <v>7638.6575119616891</v>
      </c>
      <c r="E43" s="26">
        <f>+$E$25</f>
        <v>0.77916197521708785</v>
      </c>
      <c r="F43" s="6">
        <f t="shared" si="18"/>
        <v>5951.7514750269156</v>
      </c>
      <c r="H43" s="11">
        <f>+'Hours &amp; Miles by County'!$E$25</f>
        <v>7.6867423026312817E-2</v>
      </c>
      <c r="I43" s="6">
        <f t="shared" si="19"/>
        <v>587.16391832508134</v>
      </c>
      <c r="K43" s="26">
        <f>+K40</f>
        <v>0.14397060175659929</v>
      </c>
      <c r="L43" s="6">
        <f t="shared" si="20"/>
        <v>1099.7421186096919</v>
      </c>
      <c r="N43" s="6">
        <f t="shared" si="21"/>
        <v>7638.6575119616891</v>
      </c>
      <c r="O43" s="11">
        <f t="shared" si="22"/>
        <v>0.99999999999999989</v>
      </c>
      <c r="P43" t="str">
        <f t="shared" si="23"/>
        <v xml:space="preserve"> </v>
      </c>
    </row>
    <row r="44" spans="1:16">
      <c r="A44" s="157">
        <v>4222</v>
      </c>
      <c r="B44" s="157" t="s">
        <v>331</v>
      </c>
      <c r="C44" s="158">
        <f>+'Results of Operations Regulated'!C44</f>
        <v>0</v>
      </c>
      <c r="D44" s="157"/>
      <c r="E44" s="88">
        <f>+$E$26</f>
        <v>0.77916197521708785</v>
      </c>
      <c r="F44" s="158">
        <f t="shared" si="18"/>
        <v>0</v>
      </c>
      <c r="G44" s="157"/>
      <c r="H44" s="88">
        <f>+'Hours &amp; Miles by County'!$E$25</f>
        <v>7.6867423026312817E-2</v>
      </c>
      <c r="I44" s="158">
        <f t="shared" si="19"/>
        <v>0</v>
      </c>
      <c r="J44" s="157"/>
      <c r="K44" s="88">
        <f>+K41</f>
        <v>0.14397060175659929</v>
      </c>
      <c r="L44" s="158">
        <f t="shared" si="20"/>
        <v>0</v>
      </c>
      <c r="M44" s="157"/>
      <c r="N44" s="158">
        <f t="shared" si="21"/>
        <v>0</v>
      </c>
      <c r="O44" s="88">
        <f t="shared" si="22"/>
        <v>0.99999999999999989</v>
      </c>
      <c r="P44" s="157" t="str">
        <f t="shared" si="23"/>
        <v xml:space="preserve"> </v>
      </c>
    </row>
    <row r="45" spans="1:16">
      <c r="A45">
        <v>4240</v>
      </c>
      <c r="B45" t="s">
        <v>38</v>
      </c>
      <c r="C45" s="6">
        <f>+'Results of Operations Regulated'!C45</f>
        <v>93563.656315368222</v>
      </c>
      <c r="E45" s="11">
        <f>+$E$25</f>
        <v>0.77916197521708785</v>
      </c>
      <c r="F45" s="6">
        <f t="shared" si="18"/>
        <v>72901.243263215059</v>
      </c>
      <c r="H45" s="11">
        <f>+'Hours &amp; Miles by County'!$E$25</f>
        <v>7.6867423026312817E-2</v>
      </c>
      <c r="I45" s="6">
        <f t="shared" si="19"/>
        <v>7191.9971498819541</v>
      </c>
      <c r="K45" s="11">
        <f>+K25</f>
        <v>0.14397060175659929</v>
      </c>
      <c r="L45" s="6">
        <f t="shared" si="20"/>
        <v>13470.415902271205</v>
      </c>
      <c r="N45" s="6">
        <f t="shared" si="21"/>
        <v>93563.656315368222</v>
      </c>
      <c r="O45" s="11">
        <f t="shared" si="22"/>
        <v>0.99999999999999989</v>
      </c>
      <c r="P45" t="str">
        <f t="shared" si="23"/>
        <v xml:space="preserve"> </v>
      </c>
    </row>
    <row r="46" spans="1:16">
      <c r="A46">
        <v>4242</v>
      </c>
      <c r="B46" t="s">
        <v>282</v>
      </c>
      <c r="C46" s="6">
        <f>+'Results of Operations Regulated'!C46</f>
        <v>24776.99</v>
      </c>
      <c r="E46" s="11">
        <f>+$E$26</f>
        <v>0.77916197521708785</v>
      </c>
      <c r="F46" s="6">
        <f t="shared" si="18"/>
        <v>19305.288468334034</v>
      </c>
      <c r="H46" s="11">
        <f>+'Hours &amp; Miles by County'!$E$25</f>
        <v>7.6867423026312817E-2</v>
      </c>
      <c r="I46" s="6">
        <f t="shared" si="19"/>
        <v>1904.5433716487225</v>
      </c>
      <c r="K46" s="11">
        <f>+K25</f>
        <v>0.14397060175659929</v>
      </c>
      <c r="L46" s="6">
        <f t="shared" si="20"/>
        <v>3567.1581600172431</v>
      </c>
      <c r="N46" s="6">
        <f t="shared" si="21"/>
        <v>24776.99</v>
      </c>
      <c r="O46" s="11">
        <f t="shared" si="22"/>
        <v>0.99999999999999989</v>
      </c>
      <c r="P46" t="str">
        <f t="shared" si="23"/>
        <v xml:space="preserve"> </v>
      </c>
    </row>
    <row r="47" spans="1:16">
      <c r="A47" s="157">
        <v>4244</v>
      </c>
      <c r="B47" s="157" t="s">
        <v>332</v>
      </c>
      <c r="C47" s="158">
        <f>+'Results of Operations Regulated'!C47</f>
        <v>0</v>
      </c>
      <c r="D47" s="157"/>
      <c r="E47" s="88">
        <f>+$E$27</f>
        <v>0.82</v>
      </c>
      <c r="F47" s="158">
        <f t="shared" si="18"/>
        <v>0</v>
      </c>
      <c r="G47" s="157"/>
      <c r="H47" s="88">
        <f>ROUND(+'Container Count by County'!$K$24,3)</f>
        <v>0.04</v>
      </c>
      <c r="I47" s="158">
        <f t="shared" si="19"/>
        <v>0</v>
      </c>
      <c r="J47" s="157"/>
      <c r="K47" s="88">
        <f>+K27</f>
        <v>0.13</v>
      </c>
      <c r="L47" s="158">
        <f t="shared" si="20"/>
        <v>0</v>
      </c>
      <c r="M47" s="157"/>
      <c r="N47" s="158">
        <f t="shared" si="21"/>
        <v>0</v>
      </c>
      <c r="O47" s="88">
        <f t="shared" si="22"/>
        <v>0.99</v>
      </c>
      <c r="P47" s="157" t="str">
        <f t="shared" si="23"/>
        <v>ERR</v>
      </c>
    </row>
    <row r="48" spans="1:16">
      <c r="A48">
        <v>4280</v>
      </c>
      <c r="B48" t="s">
        <v>39</v>
      </c>
      <c r="C48" s="6">
        <f>+'Results of Operations Regulated'!C48</f>
        <v>12138.718510616805</v>
      </c>
      <c r="E48" s="11">
        <f>+$E$25</f>
        <v>0.77916197521708785</v>
      </c>
      <c r="F48" s="6">
        <f t="shared" si="18"/>
        <v>9458.0278913364164</v>
      </c>
      <c r="H48" s="11">
        <f>+'Hours &amp; Miles by County'!$E$25</f>
        <v>7.6867423026312817E-2</v>
      </c>
      <c r="I48" s="6">
        <f t="shared" si="19"/>
        <v>933.07201075291584</v>
      </c>
      <c r="K48" s="11">
        <f>+K25</f>
        <v>0.14397060175659929</v>
      </c>
      <c r="L48" s="6">
        <f t="shared" si="20"/>
        <v>1747.6186085274721</v>
      </c>
      <c r="N48" s="6">
        <f t="shared" si="21"/>
        <v>12138.718510616804</v>
      </c>
      <c r="O48" s="11">
        <f t="shared" si="22"/>
        <v>0.99999999999999989</v>
      </c>
      <c r="P48" t="str">
        <f t="shared" si="23"/>
        <v xml:space="preserve"> </v>
      </c>
    </row>
    <row r="49" spans="1:17">
      <c r="A49" s="157">
        <v>4282</v>
      </c>
      <c r="B49" s="157" t="s">
        <v>334</v>
      </c>
      <c r="C49" s="158">
        <f>+'Results of Operations Regulated'!C49</f>
        <v>0</v>
      </c>
      <c r="D49" s="157"/>
      <c r="E49" s="88">
        <f>+$E$26</f>
        <v>0.77916197521708785</v>
      </c>
      <c r="F49" s="158">
        <f t="shared" si="18"/>
        <v>0</v>
      </c>
      <c r="G49" s="157"/>
      <c r="H49" s="88">
        <f>+'Hours &amp; Miles by County'!$E$25</f>
        <v>7.6867423026312817E-2</v>
      </c>
      <c r="I49" s="158">
        <f t="shared" si="19"/>
        <v>0</v>
      </c>
      <c r="J49" s="157"/>
      <c r="K49" s="88">
        <f>+K26</f>
        <v>0.14397060175659929</v>
      </c>
      <c r="L49" s="158">
        <f t="shared" si="20"/>
        <v>0</v>
      </c>
      <c r="M49" s="157"/>
      <c r="N49" s="158">
        <f t="shared" si="21"/>
        <v>0</v>
      </c>
      <c r="O49" s="88">
        <f t="shared" si="22"/>
        <v>0.99999999999999989</v>
      </c>
      <c r="P49" s="157" t="str">
        <f t="shared" si="23"/>
        <v xml:space="preserve"> </v>
      </c>
    </row>
    <row r="50" spans="1:17">
      <c r="A50" t="s">
        <v>17</v>
      </c>
      <c r="C50" s="6"/>
      <c r="E50" s="11"/>
      <c r="F50" s="6"/>
      <c r="H50" s="11"/>
      <c r="I50" s="6"/>
      <c r="K50" s="11"/>
      <c r="L50" s="6"/>
      <c r="N50" s="6"/>
      <c r="O50" s="11"/>
    </row>
    <row r="51" spans="1:17">
      <c r="A51">
        <v>4360</v>
      </c>
      <c r="B51" t="s">
        <v>40</v>
      </c>
      <c r="C51" s="6">
        <f>+'Results of Operations Regulated'!C51</f>
        <v>447644.11896463222</v>
      </c>
      <c r="E51" s="26">
        <f>+'Monthly Data-Disposal Fees'!$L$52</f>
        <v>0.98917764659555496</v>
      </c>
      <c r="F51" s="6">
        <f>+C51*E51</f>
        <v>442799.55610977556</v>
      </c>
      <c r="H51" s="26">
        <f>+'Monthly Data-Disposal Fees'!$N$52</f>
        <v>6.1616184996825252E-4</v>
      </c>
      <c r="I51" s="6">
        <f>+C51*H51</f>
        <v>275.82122846865627</v>
      </c>
      <c r="K51" s="26">
        <f>+'Monthly Data-Disposal Fees'!$M$52</f>
        <v>1.0206191554476787E-2</v>
      </c>
      <c r="L51" s="6">
        <f>+C51*K51</f>
        <v>4568.7416263880314</v>
      </c>
      <c r="N51" s="6">
        <f>+F51+I51+L51</f>
        <v>447644.11896463227</v>
      </c>
      <c r="O51" s="11">
        <f>+E51+H51+K51</f>
        <v>1</v>
      </c>
      <c r="P51" t="str">
        <f>IF(O51&lt;&gt;1,"ERR"," ")</f>
        <v xml:space="preserve"> </v>
      </c>
    </row>
    <row r="52" spans="1:17">
      <c r="A52">
        <v>4361</v>
      </c>
      <c r="B52" t="s">
        <v>41</v>
      </c>
      <c r="C52" s="6">
        <f>+'Results of Operations Regulated'!C52</f>
        <v>255383.11</v>
      </c>
      <c r="E52" s="26">
        <f>+'Drop Box Allocation'!$D$20</f>
        <v>1</v>
      </c>
      <c r="F52" s="6">
        <f>+C52*E52</f>
        <v>255383.11</v>
      </c>
      <c r="H52" s="26">
        <f>+'Drop Box Allocation'!$D$21</f>
        <v>0</v>
      </c>
      <c r="I52" s="6">
        <f>+C52*H52</f>
        <v>0</v>
      </c>
      <c r="K52" s="26">
        <f>+'Drop Box Allocation'!D22</f>
        <v>0</v>
      </c>
      <c r="L52" s="6">
        <f>+C52*K52</f>
        <v>0</v>
      </c>
      <c r="N52" s="6">
        <f>+F52+I52+L52</f>
        <v>255383.11</v>
      </c>
      <c r="O52" s="11">
        <f>+E52+H52+K52</f>
        <v>1</v>
      </c>
      <c r="P52" t="str">
        <f>IF(O52&lt;&gt;1,"ERR"," ")</f>
        <v xml:space="preserve"> </v>
      </c>
    </row>
    <row r="53" spans="1:17">
      <c r="A53">
        <v>4362</v>
      </c>
      <c r="B53" t="s">
        <v>42</v>
      </c>
      <c r="C53" s="6">
        <f>+'Results of Operations Regulated'!C53</f>
        <v>120310.00710885909</v>
      </c>
      <c r="E53" s="26">
        <f>+'Monthly Data-Disposal Fees'!$L$29</f>
        <v>0</v>
      </c>
      <c r="F53" s="6">
        <f>+C53*E53</f>
        <v>0</v>
      </c>
      <c r="H53" s="26">
        <f>+'Monthly Data-Disposal Fees'!$N$29</f>
        <v>0.28128706299200523</v>
      </c>
      <c r="I53" s="6">
        <f>+C53*H53</f>
        <v>33841.648548198245</v>
      </c>
      <c r="K53" s="26">
        <f>+'Monthly Data-Disposal Fees'!$M$29</f>
        <v>0.71871293700799477</v>
      </c>
      <c r="L53" s="6">
        <f>+C53*K53</f>
        <v>86468.358560660854</v>
      </c>
      <c r="N53" s="6">
        <f>+F53+I53+L53</f>
        <v>120310.00710885911</v>
      </c>
      <c r="O53" s="11">
        <f>+E53+H53+K53</f>
        <v>1</v>
      </c>
      <c r="P53" t="str">
        <f>IF(O53&lt;&gt;1,"ERR"," ")</f>
        <v xml:space="preserve"> </v>
      </c>
    </row>
    <row r="54" spans="1:17">
      <c r="A54">
        <v>4363</v>
      </c>
      <c r="B54" t="s">
        <v>43</v>
      </c>
      <c r="C54" s="6">
        <f>+'Results of Operations Regulated'!C54</f>
        <v>110547.86</v>
      </c>
      <c r="E54" s="26">
        <f>+'Drop Box Allocation'!$D$27</f>
        <v>0</v>
      </c>
      <c r="F54" s="6">
        <f>+C54*E54</f>
        <v>0</v>
      </c>
      <c r="H54" s="26">
        <f>+'Drop Box Allocation'!$D$28</f>
        <v>0.13882842173214632</v>
      </c>
      <c r="I54" s="6">
        <f>+C54*H54</f>
        <v>15347.184929666269</v>
      </c>
      <c r="K54" s="26">
        <f>+'Drop Box Allocation'!D29</f>
        <v>0.86117157826785362</v>
      </c>
      <c r="L54" s="6">
        <f>+C54*K54</f>
        <v>95200.675070333731</v>
      </c>
      <c r="N54" s="6">
        <f>+F54+I54+L54</f>
        <v>110547.86</v>
      </c>
      <c r="O54" s="11">
        <f>+E54+H54+K54</f>
        <v>1</v>
      </c>
      <c r="P54" t="str">
        <f>IF(O54&lt;&gt;1,"ERR"," ")</f>
        <v xml:space="preserve"> </v>
      </c>
    </row>
    <row r="55" spans="1:17">
      <c r="A55" s="157">
        <v>4380</v>
      </c>
      <c r="B55" s="157" t="s">
        <v>335</v>
      </c>
      <c r="C55" s="158">
        <f>+'Results of Operations Regulated'!C55</f>
        <v>0</v>
      </c>
      <c r="D55" s="157"/>
      <c r="E55" s="88">
        <f>+'Drop Box Allocation'!$D$28</f>
        <v>0.13882842173214632</v>
      </c>
      <c r="F55" s="158">
        <f>+C55*E55</f>
        <v>0</v>
      </c>
      <c r="G55" s="157"/>
      <c r="H55" s="88">
        <f>+'Drop Box Allocation'!$D$29</f>
        <v>0.86117157826785362</v>
      </c>
      <c r="I55" s="158">
        <f>+C55*H55</f>
        <v>0</v>
      </c>
      <c r="J55" s="157"/>
      <c r="K55" s="88">
        <f>+'Drop Box Allocation'!D30</f>
        <v>0</v>
      </c>
      <c r="L55" s="158">
        <f>+C55*K55</f>
        <v>0</v>
      </c>
      <c r="M55" s="157"/>
      <c r="N55" s="158">
        <f>+F55+I55+L55</f>
        <v>0</v>
      </c>
      <c r="O55" s="88">
        <f>+E55+H55+K55</f>
        <v>1</v>
      </c>
      <c r="P55" s="157" t="str">
        <f>IF(O55&lt;&gt;1,"ERR"," ")</f>
        <v xml:space="preserve"> </v>
      </c>
      <c r="Q55" s="157"/>
    </row>
    <row r="56" spans="1:17">
      <c r="A56" t="s">
        <v>14</v>
      </c>
      <c r="C56" s="6"/>
      <c r="E56" s="11"/>
      <c r="F56" s="6"/>
      <c r="H56" s="11"/>
      <c r="I56" s="6"/>
      <c r="K56" s="11"/>
      <c r="L56" s="6"/>
      <c r="N56" s="6"/>
      <c r="O56" s="11"/>
    </row>
    <row r="57" spans="1:17">
      <c r="A57">
        <v>4430</v>
      </c>
      <c r="B57" t="s">
        <v>44</v>
      </c>
      <c r="C57" s="6">
        <f>+'Results of Operations Regulated'!C57</f>
        <v>0</v>
      </c>
      <c r="E57" s="11">
        <v>1</v>
      </c>
      <c r="F57" s="6">
        <f>+C57*E57</f>
        <v>0</v>
      </c>
      <c r="H57" s="11">
        <v>0</v>
      </c>
      <c r="I57" s="6">
        <f>+C57*H57</f>
        <v>0</v>
      </c>
      <c r="K57" s="11">
        <v>0</v>
      </c>
      <c r="L57" s="6">
        <f>+C57*K57</f>
        <v>0</v>
      </c>
      <c r="N57" s="6">
        <f>+F57+I57+L57</f>
        <v>0</v>
      </c>
      <c r="O57" s="11">
        <f>+E57+H57+K57</f>
        <v>1</v>
      </c>
      <c r="P57" t="str">
        <f>IF(O57&lt;&gt;1,"ERR"," ")</f>
        <v xml:space="preserve"> </v>
      </c>
    </row>
    <row r="58" spans="1:17">
      <c r="A58">
        <v>4450</v>
      </c>
      <c r="B58" t="s">
        <v>45</v>
      </c>
      <c r="C58" s="6">
        <f>+'Results of Operations Regulated'!C58</f>
        <v>3734.3199999999997</v>
      </c>
      <c r="E58" s="15">
        <v>1</v>
      </c>
      <c r="F58" s="6">
        <f>+C58*E58</f>
        <v>3734.3199999999997</v>
      </c>
      <c r="H58" s="15">
        <v>0</v>
      </c>
      <c r="I58" s="6">
        <f>+C58*H58</f>
        <v>0</v>
      </c>
      <c r="K58" s="15">
        <v>0</v>
      </c>
      <c r="L58" s="6">
        <f>+C58*K58</f>
        <v>0</v>
      </c>
      <c r="N58" s="6">
        <f>+F58+I58+L58</f>
        <v>3734.3199999999997</v>
      </c>
      <c r="O58" s="11">
        <f>+E58+H58+K58</f>
        <v>1</v>
      </c>
      <c r="P58" t="str">
        <f>IF(O58&lt;&gt;1,"ERR"," ")</f>
        <v xml:space="preserve"> </v>
      </c>
    </row>
    <row r="59" spans="1:17">
      <c r="A59" t="s">
        <v>15</v>
      </c>
      <c r="C59" s="6"/>
      <c r="E59" s="11"/>
      <c r="F59" s="6"/>
      <c r="H59" s="11"/>
      <c r="I59" s="6"/>
      <c r="K59" s="11"/>
      <c r="L59" s="6"/>
      <c r="N59" s="6"/>
      <c r="O59" s="11"/>
    </row>
    <row r="60" spans="1:17">
      <c r="A60">
        <v>4530</v>
      </c>
      <c r="B60" t="s">
        <v>46</v>
      </c>
      <c r="C60" s="6">
        <f>+'Results of Operations Regulated'!C60</f>
        <v>63176.698194627927</v>
      </c>
      <c r="E60" s="11">
        <f>+$E$25</f>
        <v>0.77916197521708785</v>
      </c>
      <c r="F60" s="6">
        <f>+C60*E60</f>
        <v>49224.880953020125</v>
      </c>
      <c r="H60" s="11">
        <f>+'Hours &amp; Miles by County'!$E$25</f>
        <v>7.6867423026312817E-2</v>
      </c>
      <c r="I60" s="6">
        <f>+C60*H60</f>
        <v>4856.229985532158</v>
      </c>
      <c r="K60" s="11">
        <f>+K25</f>
        <v>0.14397060175659929</v>
      </c>
      <c r="L60" s="6">
        <f>+C60*K60</f>
        <v>9095.5872560756416</v>
      </c>
      <c r="N60" s="6">
        <f>+F60+I60+L60</f>
        <v>63176.698194627927</v>
      </c>
      <c r="O60" s="11">
        <f>+E60+H60+K60</f>
        <v>0.99999999999999989</v>
      </c>
      <c r="P60" t="str">
        <f>IF(O60&lt;&gt;1,"ERR"," ")</f>
        <v xml:space="preserve"> </v>
      </c>
    </row>
    <row r="61" spans="1:17">
      <c r="A61">
        <v>4540</v>
      </c>
      <c r="B61" t="s">
        <v>47</v>
      </c>
      <c r="C61" s="6">
        <f>+'Results of Operations Regulated'!C61</f>
        <v>17297.674417974624</v>
      </c>
      <c r="E61" s="11">
        <f>+$E$25</f>
        <v>0.77916197521708785</v>
      </c>
      <c r="F61" s="6">
        <f>+C61*E61</f>
        <v>13477.690166171198</v>
      </c>
      <c r="H61" s="11">
        <f>+'Hours &amp; Miles by County'!$E$25</f>
        <v>7.6867423026312817E-2</v>
      </c>
      <c r="I61" s="6">
        <f>+C61*H61</f>
        <v>1329.6276568578849</v>
      </c>
      <c r="K61" s="11">
        <f>+K25</f>
        <v>0.14397060175659929</v>
      </c>
      <c r="L61" s="6">
        <f>+C61*K61</f>
        <v>2490.3565949455401</v>
      </c>
      <c r="N61" s="6">
        <f>+F61+I61+L61</f>
        <v>17297.674417974624</v>
      </c>
      <c r="O61" s="11">
        <f>+E61+H61+K61</f>
        <v>0.99999999999999989</v>
      </c>
      <c r="P61" t="str">
        <f>IF(O61&lt;&gt;1,"ERR"," ")</f>
        <v xml:space="preserve"> </v>
      </c>
    </row>
    <row r="62" spans="1:17">
      <c r="A62">
        <v>4580</v>
      </c>
      <c r="B62" t="s">
        <v>48</v>
      </c>
      <c r="C62" s="6">
        <f>+'Results of Operations Regulated'!C62</f>
        <v>0</v>
      </c>
      <c r="E62" s="11">
        <f>+$E$25</f>
        <v>0.77916197521708785</v>
      </c>
      <c r="F62" s="6">
        <f>+C62*E62</f>
        <v>0</v>
      </c>
      <c r="H62" s="11">
        <f>+'Hours &amp; Miles by County'!$E$25</f>
        <v>7.6867423026312817E-2</v>
      </c>
      <c r="I62" s="6">
        <f>+C62*H62</f>
        <v>0</v>
      </c>
      <c r="K62" s="11">
        <f>+K25</f>
        <v>0.14397060175659929</v>
      </c>
      <c r="L62" s="6">
        <f>+C62*K62</f>
        <v>0</v>
      </c>
      <c r="N62" s="6">
        <f>+F62+I62+L62</f>
        <v>0</v>
      </c>
      <c r="O62" s="11">
        <f>+E62+H62+K62</f>
        <v>0.99999999999999989</v>
      </c>
      <c r="P62" t="str">
        <f>IF(O62&lt;&gt;1,"ERR"," ")</f>
        <v xml:space="preserve"> </v>
      </c>
    </row>
    <row r="63" spans="1:17">
      <c r="A63" t="s">
        <v>18</v>
      </c>
      <c r="C63" s="6"/>
      <c r="E63" s="11"/>
      <c r="F63" s="6"/>
      <c r="H63" s="11"/>
      <c r="I63" s="6"/>
      <c r="K63" s="11"/>
      <c r="L63" s="6"/>
      <c r="N63" s="6"/>
      <c r="O63" s="11"/>
    </row>
    <row r="64" spans="1:17">
      <c r="A64">
        <v>4611</v>
      </c>
      <c r="B64" t="s">
        <v>49</v>
      </c>
      <c r="C64" s="6">
        <f>+'Results of Operations Regulated'!C64</f>
        <v>61316.368457957367</v>
      </c>
      <c r="E64" s="26">
        <f>+'Overhead Allocation'!$E$20</f>
        <v>0.74972468746804022</v>
      </c>
      <c r="F64" s="6">
        <f t="shared" ref="F64:F83" si="24">+C64*E64</f>
        <v>45970.395178817285</v>
      </c>
      <c r="H64" s="26">
        <f>+'Overhead Allocation'!$F$20</f>
        <v>7.6836283747601458E-2</v>
      </c>
      <c r="I64" s="6">
        <f t="shared" ref="I64:I83" si="25">+C64*H64</f>
        <v>4711.3218852080927</v>
      </c>
      <c r="K64" s="26">
        <f>+'Overhead Allocation'!G20</f>
        <v>0.17343902878435841</v>
      </c>
      <c r="L64" s="6">
        <f t="shared" ref="L64:L83" si="26">+C64*K64</f>
        <v>10634.651393931994</v>
      </c>
      <c r="N64" s="6">
        <f t="shared" ref="N64:N83" si="27">+F64+I64+L64</f>
        <v>61316.368457957367</v>
      </c>
      <c r="O64" s="11">
        <f t="shared" ref="O64:O83" si="28">+E64+H64+K64</f>
        <v>1</v>
      </c>
      <c r="P64" t="str">
        <f t="shared" ref="P64:P83" si="29">IF(O64&lt;&gt;1,"ERR"," ")</f>
        <v xml:space="preserve"> </v>
      </c>
    </row>
    <row r="65" spans="1:16">
      <c r="A65">
        <v>4612</v>
      </c>
      <c r="B65" t="s">
        <v>50</v>
      </c>
      <c r="C65" s="6">
        <f>+'Results of Operations Regulated'!C65</f>
        <v>48942.78561098731</v>
      </c>
      <c r="E65" s="26">
        <f>+'Overhead Allocation'!$E$20</f>
        <v>0.74972468746804022</v>
      </c>
      <c r="F65" s="6">
        <f t="shared" si="24"/>
        <v>36693.614646012757</v>
      </c>
      <c r="H65" s="26">
        <f>+'Overhead Allocation'!$F$20</f>
        <v>7.6836283747601458E-2</v>
      </c>
      <c r="I65" s="6">
        <f t="shared" si="25"/>
        <v>3760.581762603847</v>
      </c>
      <c r="K65" s="26">
        <f>+K64</f>
        <v>0.17343902878435841</v>
      </c>
      <c r="L65" s="6">
        <f t="shared" si="26"/>
        <v>8488.5892023707111</v>
      </c>
      <c r="N65" s="6">
        <f t="shared" si="27"/>
        <v>48942.785610987317</v>
      </c>
      <c r="O65" s="11">
        <f t="shared" si="28"/>
        <v>1</v>
      </c>
      <c r="P65" t="str">
        <f t="shared" si="29"/>
        <v xml:space="preserve"> </v>
      </c>
    </row>
    <row r="66" spans="1:16">
      <c r="A66">
        <v>4613</v>
      </c>
      <c r="B66" t="s">
        <v>51</v>
      </c>
      <c r="C66" s="6">
        <f>+'Results of Operations Regulated'!C66</f>
        <v>103790.72785852158</v>
      </c>
      <c r="E66" s="26">
        <f>+'Overhead Allocation'!$E$20</f>
        <v>0.74972468746804022</v>
      </c>
      <c r="F66" s="6">
        <f t="shared" si="24"/>
        <v>77814.471005810512</v>
      </c>
      <c r="H66" s="26">
        <f>+'Overhead Allocation'!$F$20</f>
        <v>7.6836283747601458E-2</v>
      </c>
      <c r="I66" s="6">
        <f t="shared" si="25"/>
        <v>7974.8938161074475</v>
      </c>
      <c r="K66" s="11">
        <f t="shared" ref="K66:K77" si="30">+$K$64</f>
        <v>0.17343902878435841</v>
      </c>
      <c r="L66" s="6">
        <f t="shared" si="26"/>
        <v>18001.363036603634</v>
      </c>
      <c r="N66" s="6">
        <f t="shared" si="27"/>
        <v>103790.7278585216</v>
      </c>
      <c r="O66" s="11">
        <f t="shared" si="28"/>
        <v>1</v>
      </c>
      <c r="P66" t="str">
        <f t="shared" si="29"/>
        <v xml:space="preserve"> </v>
      </c>
    </row>
    <row r="67" spans="1:16">
      <c r="A67">
        <v>4620</v>
      </c>
      <c r="B67" t="s">
        <v>52</v>
      </c>
      <c r="C67" s="6">
        <f>+'Results of Operations Regulated'!C67</f>
        <v>38722.715799683676</v>
      </c>
      <c r="E67" s="26">
        <f>+'Overhead Allocation'!$E$20</f>
        <v>0.74972468746804022</v>
      </c>
      <c r="F67" s="6">
        <f t="shared" si="24"/>
        <v>29031.376000831588</v>
      </c>
      <c r="H67" s="26">
        <f>+'Overhead Allocation'!$F$20</f>
        <v>7.6836283747601458E-2</v>
      </c>
      <c r="I67" s="6">
        <f t="shared" si="25"/>
        <v>2975.3095786622252</v>
      </c>
      <c r="K67" s="11">
        <f t="shared" si="30"/>
        <v>0.17343902878435841</v>
      </c>
      <c r="L67" s="6">
        <f t="shared" si="26"/>
        <v>6716.0302201898667</v>
      </c>
      <c r="N67" s="6">
        <f t="shared" si="27"/>
        <v>38722.715799683676</v>
      </c>
      <c r="O67" s="11">
        <f t="shared" si="28"/>
        <v>1</v>
      </c>
      <c r="P67" t="str">
        <f t="shared" si="29"/>
        <v xml:space="preserve"> </v>
      </c>
    </row>
    <row r="68" spans="1:16">
      <c r="A68">
        <v>4622</v>
      </c>
      <c r="B68" t="s">
        <v>53</v>
      </c>
      <c r="C68" s="6">
        <f>+'Results of Operations Regulated'!C68</f>
        <v>0</v>
      </c>
      <c r="E68" s="26">
        <f>+'Overhead Allocation'!$E$20</f>
        <v>0.74972468746804022</v>
      </c>
      <c r="F68" s="6">
        <f t="shared" si="24"/>
        <v>0</v>
      </c>
      <c r="H68" s="26">
        <f>+'Overhead Allocation'!$F$20</f>
        <v>7.6836283747601458E-2</v>
      </c>
      <c r="I68" s="6">
        <f t="shared" si="25"/>
        <v>0</v>
      </c>
      <c r="K68" s="11">
        <f t="shared" si="30"/>
        <v>0.17343902878435841</v>
      </c>
      <c r="L68" s="6">
        <f t="shared" si="26"/>
        <v>0</v>
      </c>
      <c r="N68" s="6">
        <f t="shared" si="27"/>
        <v>0</v>
      </c>
      <c r="O68" s="11">
        <f t="shared" si="28"/>
        <v>1</v>
      </c>
      <c r="P68" t="str">
        <f t="shared" si="29"/>
        <v xml:space="preserve"> </v>
      </c>
    </row>
    <row r="69" spans="1:16">
      <c r="A69">
        <v>4624</v>
      </c>
      <c r="B69" t="s">
        <v>54</v>
      </c>
      <c r="C69" s="6">
        <f>+'Results of Operations Regulated'!C69</f>
        <v>742.10370418842945</v>
      </c>
      <c r="E69" s="26">
        <f>+'Overhead Allocation'!$E$20</f>
        <v>0.74972468746804022</v>
      </c>
      <c r="F69" s="6">
        <f t="shared" si="24"/>
        <v>556.37346769154522</v>
      </c>
      <c r="H69" s="26">
        <f>+'Overhead Allocation'!$F$20</f>
        <v>7.6836283747601458E-2</v>
      </c>
      <c r="I69" s="6">
        <f t="shared" si="25"/>
        <v>57.020490785168263</v>
      </c>
      <c r="K69" s="11">
        <f t="shared" si="30"/>
        <v>0.17343902878435841</v>
      </c>
      <c r="L69" s="6">
        <f t="shared" si="26"/>
        <v>128.70974571171601</v>
      </c>
      <c r="N69" s="6">
        <f t="shared" si="27"/>
        <v>742.10370418842945</v>
      </c>
      <c r="O69" s="11">
        <f t="shared" si="28"/>
        <v>1</v>
      </c>
      <c r="P69" t="str">
        <f t="shared" si="29"/>
        <v xml:space="preserve"> </v>
      </c>
    </row>
    <row r="70" spans="1:16">
      <c r="A70">
        <v>4625</v>
      </c>
      <c r="B70" t="s">
        <v>55</v>
      </c>
      <c r="C70" s="6">
        <f>+'Results of Operations Regulated'!C70</f>
        <v>2451.560943724709</v>
      </c>
      <c r="E70" s="26">
        <f>+'Overhead Allocation'!$E$20</f>
        <v>0.74972468746804022</v>
      </c>
      <c r="F70" s="6">
        <f t="shared" si="24"/>
        <v>1837.9957623428611</v>
      </c>
      <c r="H70" s="26">
        <f>+'Overhead Allocation'!$F$20</f>
        <v>7.6836283747601458E-2</v>
      </c>
      <c r="I70" s="6">
        <f t="shared" si="25"/>
        <v>188.36883229656934</v>
      </c>
      <c r="K70" s="11">
        <f t="shared" si="30"/>
        <v>0.17343902878435841</v>
      </c>
      <c r="L70" s="6">
        <f t="shared" si="26"/>
        <v>425.19634908527865</v>
      </c>
      <c r="N70" s="6">
        <f t="shared" si="27"/>
        <v>2451.560943724709</v>
      </c>
      <c r="O70" s="11">
        <f t="shared" si="28"/>
        <v>1</v>
      </c>
      <c r="P70" t="str">
        <f t="shared" si="29"/>
        <v xml:space="preserve"> </v>
      </c>
    </row>
    <row r="71" spans="1:16">
      <c r="A71">
        <v>4627</v>
      </c>
      <c r="B71" t="s">
        <v>56</v>
      </c>
      <c r="C71" s="6">
        <f>+'Results of Operations Regulated'!C71</f>
        <v>574.4896625990599</v>
      </c>
      <c r="E71" s="26">
        <f>+'Overhead Allocation'!$E$20</f>
        <v>0.74972468746804022</v>
      </c>
      <c r="F71" s="6">
        <f t="shared" si="24"/>
        <v>430.70908274570007</v>
      </c>
      <c r="H71" s="26">
        <f>+'Overhead Allocation'!$F$20</f>
        <v>7.6836283747601458E-2</v>
      </c>
      <c r="I71" s="6">
        <f t="shared" si="25"/>
        <v>44.141650725525189</v>
      </c>
      <c r="K71" s="11">
        <f t="shared" si="30"/>
        <v>0.17343902878435841</v>
      </c>
      <c r="L71" s="6">
        <f t="shared" si="26"/>
        <v>99.6389291278347</v>
      </c>
      <c r="N71" s="6">
        <f t="shared" si="27"/>
        <v>574.48966259906001</v>
      </c>
      <c r="O71" s="11">
        <f t="shared" si="28"/>
        <v>1</v>
      </c>
      <c r="P71" t="str">
        <f t="shared" si="29"/>
        <v xml:space="preserve"> </v>
      </c>
    </row>
    <row r="72" spans="1:16">
      <c r="A72">
        <v>4628</v>
      </c>
      <c r="B72" t="s">
        <v>56</v>
      </c>
      <c r="C72" s="6">
        <f>+'Results of Operations Regulated'!C72</f>
        <v>22110.411553996175</v>
      </c>
      <c r="E72" s="26">
        <f>+'Overhead Allocation'!$E$20</f>
        <v>0.74972468746804022</v>
      </c>
      <c r="F72" s="6">
        <f t="shared" ref="F72" si="31">+C72*E72</f>
        <v>16576.721392109528</v>
      </c>
      <c r="H72" s="26">
        <f>+'Overhead Allocation'!$F$20</f>
        <v>7.6836283747601458E-2</v>
      </c>
      <c r="I72" s="6">
        <f t="shared" ref="I72" si="32">+C72*H72</f>
        <v>1698.8818559390959</v>
      </c>
      <c r="K72" s="11">
        <f t="shared" si="30"/>
        <v>0.17343902878435841</v>
      </c>
      <c r="L72" s="6">
        <f t="shared" ref="L72" si="33">+C72*K72</f>
        <v>3834.8083059475534</v>
      </c>
      <c r="N72" s="6">
        <f t="shared" ref="N72" si="34">+F72+I72+L72</f>
        <v>22110.411553996179</v>
      </c>
      <c r="O72" s="11">
        <f t="shared" ref="O72" si="35">+E72+H72+K72</f>
        <v>1</v>
      </c>
      <c r="P72" t="str">
        <f t="shared" ref="P72" si="36">IF(O72&lt;&gt;1,"ERR"," ")</f>
        <v xml:space="preserve"> </v>
      </c>
    </row>
    <row r="73" spans="1:16">
      <c r="A73">
        <v>4630</v>
      </c>
      <c r="B73" t="s">
        <v>57</v>
      </c>
      <c r="C73" s="6">
        <f>+'Results of Operations Regulated'!C73</f>
        <v>419.15486250556802</v>
      </c>
      <c r="E73" s="26">
        <f>+'Overhead Allocation'!$E$20</f>
        <v>0.74972468746804022</v>
      </c>
      <c r="F73" s="6">
        <f t="shared" si="24"/>
        <v>314.25074829269636</v>
      </c>
      <c r="H73" s="26">
        <f>+'Overhead Allocation'!$F$20</f>
        <v>7.6836283747601458E-2</v>
      </c>
      <c r="I73" s="6">
        <f t="shared" si="25"/>
        <v>32.206301949664699</v>
      </c>
      <c r="K73" s="11">
        <f t="shared" si="30"/>
        <v>0.17343902878435841</v>
      </c>
      <c r="L73" s="6">
        <f t="shared" si="26"/>
        <v>72.697812263206998</v>
      </c>
      <c r="N73" s="6">
        <f t="shared" si="27"/>
        <v>419.15486250556808</v>
      </c>
      <c r="O73" s="11">
        <f t="shared" si="28"/>
        <v>1</v>
      </c>
      <c r="P73" t="str">
        <f t="shared" si="29"/>
        <v xml:space="preserve"> </v>
      </c>
    </row>
    <row r="74" spans="1:16">
      <c r="A74">
        <v>4640</v>
      </c>
      <c r="B74" t="s">
        <v>58</v>
      </c>
      <c r="C74" s="6">
        <f>+'Results of Operations Regulated'!C74</f>
        <v>12203.498216247108</v>
      </c>
      <c r="E74" s="26">
        <f>+'Overhead Allocation'!$E$20</f>
        <v>0.74972468746804022</v>
      </c>
      <c r="F74" s="6">
        <f t="shared" si="24"/>
        <v>9149.2638861926498</v>
      </c>
      <c r="H74" s="26">
        <f>+'Overhead Allocation'!$F$20</f>
        <v>7.6836283747601458E-2</v>
      </c>
      <c r="I74" s="6">
        <f t="shared" si="25"/>
        <v>937.67145165691102</v>
      </c>
      <c r="K74" s="11">
        <f t="shared" si="30"/>
        <v>0.17343902878435841</v>
      </c>
      <c r="L74" s="6">
        <f t="shared" si="26"/>
        <v>2116.5628783975485</v>
      </c>
      <c r="N74" s="6">
        <f t="shared" si="27"/>
        <v>12203.49821624711</v>
      </c>
      <c r="O74" s="11">
        <f t="shared" si="28"/>
        <v>1</v>
      </c>
      <c r="P74" t="str">
        <f t="shared" si="29"/>
        <v xml:space="preserve"> </v>
      </c>
    </row>
    <row r="75" spans="1:16">
      <c r="A75">
        <v>4642</v>
      </c>
      <c r="B75" t="s">
        <v>1399</v>
      </c>
      <c r="C75" s="6">
        <f>+'Results of Operations Regulated'!C75</f>
        <v>0</v>
      </c>
      <c r="E75" s="26">
        <f>+'Overhead Allocation'!$E$20</f>
        <v>0.74972468746804022</v>
      </c>
      <c r="F75" s="6">
        <f t="shared" ref="F75" si="37">+C75*E75</f>
        <v>0</v>
      </c>
      <c r="H75" s="26">
        <f>+'Overhead Allocation'!$F$20</f>
        <v>7.6836283747601458E-2</v>
      </c>
      <c r="I75" s="6">
        <f t="shared" ref="I75" si="38">+C75*H75</f>
        <v>0</v>
      </c>
      <c r="K75" s="11">
        <f t="shared" si="30"/>
        <v>0.17343902878435841</v>
      </c>
      <c r="L75" s="6">
        <f t="shared" ref="L75" si="39">+C75*K75</f>
        <v>0</v>
      </c>
      <c r="N75" s="6">
        <f t="shared" ref="N75" si="40">+F75+I75+L75</f>
        <v>0</v>
      </c>
      <c r="O75" s="11">
        <f t="shared" ref="O75" si="41">+E75+H75+K75</f>
        <v>1</v>
      </c>
      <c r="P75" t="str">
        <f t="shared" ref="P75" si="42">IF(O75&lt;&gt;1,"ERR"," ")</f>
        <v xml:space="preserve"> </v>
      </c>
    </row>
    <row r="76" spans="1:16">
      <c r="A76">
        <v>4650</v>
      </c>
      <c r="B76" t="s">
        <v>59</v>
      </c>
      <c r="C76" s="6">
        <f>+'Results of Operations Regulated'!C76</f>
        <v>83555.048843052791</v>
      </c>
      <c r="E76" s="26">
        <f>+'Overhead Allocation'!$E$20</f>
        <v>0.74972468746804022</v>
      </c>
      <c r="F76" s="6">
        <f t="shared" si="24"/>
        <v>62643.28288023459</v>
      </c>
      <c r="H76" s="26">
        <f>+'Overhead Allocation'!$F$20</f>
        <v>7.6836283747601458E-2</v>
      </c>
      <c r="I76" s="6">
        <f t="shared" si="25"/>
        <v>6420.0594414495035</v>
      </c>
      <c r="K76" s="11">
        <f t="shared" si="30"/>
        <v>0.17343902878435841</v>
      </c>
      <c r="L76" s="6">
        <f t="shared" si="26"/>
        <v>14491.706521368706</v>
      </c>
      <c r="N76" s="6">
        <f t="shared" si="27"/>
        <v>83555.048843052791</v>
      </c>
      <c r="O76" s="11">
        <f t="shared" si="28"/>
        <v>1</v>
      </c>
      <c r="P76" t="str">
        <f t="shared" si="29"/>
        <v xml:space="preserve"> </v>
      </c>
    </row>
    <row r="77" spans="1:16">
      <c r="A77">
        <v>4652</v>
      </c>
      <c r="B77" t="s">
        <v>60</v>
      </c>
      <c r="C77" s="6">
        <f>+'Results of Operations Regulated'!C77</f>
        <v>8529.2425788382989</v>
      </c>
      <c r="E77" s="26">
        <f>+'Overhead Allocation'!$E$20</f>
        <v>0.74972468746804022</v>
      </c>
      <c r="F77" s="6">
        <f t="shared" si="24"/>
        <v>6394.5837267586448</v>
      </c>
      <c r="H77" s="26">
        <f>+'Overhead Allocation'!$F$20</f>
        <v>7.6836283747601458E-2</v>
      </c>
      <c r="I77" s="6">
        <f t="shared" si="25"/>
        <v>655.35530293974352</v>
      </c>
      <c r="K77" s="11">
        <f t="shared" si="30"/>
        <v>0.17343902878435841</v>
      </c>
      <c r="L77" s="6">
        <f t="shared" si="26"/>
        <v>1479.303549139911</v>
      </c>
      <c r="N77" s="6">
        <f t="shared" si="27"/>
        <v>8529.2425788382989</v>
      </c>
      <c r="O77" s="11">
        <f t="shared" si="28"/>
        <v>1</v>
      </c>
      <c r="P77" t="str">
        <f t="shared" si="29"/>
        <v xml:space="preserve"> </v>
      </c>
    </row>
    <row r="78" spans="1:16">
      <c r="A78">
        <v>4660</v>
      </c>
      <c r="B78" t="s">
        <v>61</v>
      </c>
      <c r="C78" s="6">
        <f>+'Results of Operations Regulated'!C78</f>
        <v>0</v>
      </c>
      <c r="E78" s="26">
        <f>$E$21</f>
        <v>0.73427369633070694</v>
      </c>
      <c r="F78" s="87">
        <f t="shared" si="24"/>
        <v>0</v>
      </c>
      <c r="G78" s="83"/>
      <c r="H78" s="26">
        <f>$H$21</f>
        <v>5.9818649619680551E-2</v>
      </c>
      <c r="I78" s="87">
        <f t="shared" si="25"/>
        <v>0</v>
      </c>
      <c r="J78" s="83"/>
      <c r="K78" s="26">
        <f>$K$21</f>
        <v>0.2059076540496125</v>
      </c>
      <c r="L78" s="87">
        <f t="shared" si="26"/>
        <v>0</v>
      </c>
      <c r="N78" s="6">
        <f t="shared" si="27"/>
        <v>0</v>
      </c>
      <c r="O78" s="11">
        <f t="shared" si="28"/>
        <v>1</v>
      </c>
      <c r="P78" t="str">
        <f t="shared" si="29"/>
        <v xml:space="preserve"> </v>
      </c>
    </row>
    <row r="79" spans="1:16">
      <c r="A79">
        <v>4670</v>
      </c>
      <c r="B79" t="s">
        <v>62</v>
      </c>
      <c r="C79" s="6">
        <f>+'Results of Operations Regulated'!C79</f>
        <v>0</v>
      </c>
      <c r="E79" s="26">
        <f>$E$21</f>
        <v>0.73427369633070694</v>
      </c>
      <c r="F79" s="87">
        <f t="shared" si="24"/>
        <v>0</v>
      </c>
      <c r="G79" s="83"/>
      <c r="H79" s="26">
        <f>$H$21</f>
        <v>5.9818649619680551E-2</v>
      </c>
      <c r="I79" s="87">
        <f t="shared" si="25"/>
        <v>0</v>
      </c>
      <c r="J79" s="83"/>
      <c r="K79" s="26">
        <f>$K$21</f>
        <v>0.2059076540496125</v>
      </c>
      <c r="L79" s="87">
        <f t="shared" si="26"/>
        <v>0</v>
      </c>
      <c r="N79" s="6">
        <f t="shared" si="27"/>
        <v>0</v>
      </c>
      <c r="O79" s="11">
        <f t="shared" si="28"/>
        <v>1</v>
      </c>
      <c r="P79" t="str">
        <f t="shared" si="29"/>
        <v xml:space="preserve"> </v>
      </c>
    </row>
    <row r="80" spans="1:16">
      <c r="A80">
        <v>4680</v>
      </c>
      <c r="B80" t="s">
        <v>63</v>
      </c>
      <c r="C80" s="6">
        <f>+'Results of Operations Regulated'!C80</f>
        <v>12945.166303638069</v>
      </c>
      <c r="E80" s="26">
        <f>+$E$21</f>
        <v>0.73427369633070694</v>
      </c>
      <c r="F80" s="6">
        <f t="shared" si="24"/>
        <v>9505.295111388039</v>
      </c>
      <c r="H80" s="26">
        <f>+H21</f>
        <v>5.9818649619680551E-2</v>
      </c>
      <c r="I80" s="6">
        <f t="shared" si="25"/>
        <v>774.3623673858209</v>
      </c>
      <c r="K80" s="26">
        <f>+K21</f>
        <v>0.2059076540496125</v>
      </c>
      <c r="L80" s="6">
        <f t="shared" si="26"/>
        <v>2665.5088248642087</v>
      </c>
      <c r="N80" s="6">
        <f t="shared" si="27"/>
        <v>12945.166303638067</v>
      </c>
      <c r="O80" s="11">
        <f t="shared" si="28"/>
        <v>1</v>
      </c>
      <c r="P80" t="str">
        <f t="shared" si="29"/>
        <v xml:space="preserve"> </v>
      </c>
    </row>
    <row r="81" spans="1:16">
      <c r="A81">
        <v>4692</v>
      </c>
      <c r="B81" t="s">
        <v>64</v>
      </c>
      <c r="C81" s="6">
        <f>+'Results of Operations Regulated'!C81</f>
        <v>9264.1368193916351</v>
      </c>
      <c r="E81" s="11">
        <f>+$E$64</f>
        <v>0.74972468746804022</v>
      </c>
      <c r="F81" s="6">
        <f t="shared" si="24"/>
        <v>6945.552081579558</v>
      </c>
      <c r="H81" s="26">
        <f>+'Overhead Allocation'!$F$20</f>
        <v>7.6836283747601458E-2</v>
      </c>
      <c r="I81" s="6">
        <f t="shared" si="25"/>
        <v>711.82184533137774</v>
      </c>
      <c r="K81" s="11">
        <f>+$K$64</f>
        <v>0.17343902878435841</v>
      </c>
      <c r="L81" s="6">
        <f t="shared" si="26"/>
        <v>1606.7628924807004</v>
      </c>
      <c r="N81" s="6">
        <f t="shared" si="27"/>
        <v>9264.1368193916351</v>
      </c>
      <c r="O81" s="11">
        <f t="shared" si="28"/>
        <v>1</v>
      </c>
      <c r="P81" t="str">
        <f t="shared" si="29"/>
        <v xml:space="preserve"> </v>
      </c>
    </row>
    <row r="82" spans="1:16">
      <c r="A82">
        <v>4694</v>
      </c>
      <c r="B82" t="s">
        <v>65</v>
      </c>
      <c r="C82" s="6">
        <f>+'Results of Operations Regulated'!C82</f>
        <v>0</v>
      </c>
      <c r="E82" s="11">
        <f>+$E$64</f>
        <v>0.74972468746804022</v>
      </c>
      <c r="F82" s="6">
        <f t="shared" si="24"/>
        <v>0</v>
      </c>
      <c r="H82" s="26">
        <f>+'Overhead Allocation'!$F$20</f>
        <v>7.6836283747601458E-2</v>
      </c>
      <c r="I82" s="6">
        <f t="shared" si="25"/>
        <v>0</v>
      </c>
      <c r="K82" s="11">
        <f>+$K$64</f>
        <v>0.17343902878435841</v>
      </c>
      <c r="L82" s="6">
        <f t="shared" si="26"/>
        <v>0</v>
      </c>
      <c r="N82" s="6">
        <f t="shared" si="27"/>
        <v>0</v>
      </c>
      <c r="O82" s="11">
        <f t="shared" si="28"/>
        <v>1</v>
      </c>
      <c r="P82" t="str">
        <f t="shared" si="29"/>
        <v xml:space="preserve"> </v>
      </c>
    </row>
    <row r="83" spans="1:16">
      <c r="A83">
        <v>4698</v>
      </c>
      <c r="B83" t="s">
        <v>66</v>
      </c>
      <c r="C83" s="6">
        <f>+'Results of Operations Regulated'!C83</f>
        <v>678.60773044544305</v>
      </c>
      <c r="E83" s="11">
        <f>+$E$64</f>
        <v>0.74972468746804022</v>
      </c>
      <c r="F83" s="6">
        <f t="shared" si="24"/>
        <v>508.76896862160589</v>
      </c>
      <c r="H83" s="26">
        <f>+'Overhead Allocation'!$F$20</f>
        <v>7.6836283747601458E-2</v>
      </c>
      <c r="I83" s="6">
        <f t="shared" si="25"/>
        <v>52.141696129821909</v>
      </c>
      <c r="K83" s="11">
        <f>+$K$64</f>
        <v>0.17343902878435841</v>
      </c>
      <c r="L83" s="6">
        <f t="shared" si="26"/>
        <v>117.69706569401532</v>
      </c>
      <c r="N83" s="6">
        <f t="shared" si="27"/>
        <v>678.60773044544317</v>
      </c>
      <c r="O83" s="11">
        <f t="shared" si="28"/>
        <v>1</v>
      </c>
      <c r="P83" t="str">
        <f t="shared" si="29"/>
        <v xml:space="preserve"> </v>
      </c>
    </row>
    <row r="84" spans="1:16">
      <c r="A84" t="s">
        <v>19</v>
      </c>
      <c r="C84" s="6"/>
      <c r="E84" s="11"/>
      <c r="F84" s="6"/>
      <c r="H84" s="11"/>
      <c r="I84" s="6"/>
      <c r="K84" s="11"/>
      <c r="L84" s="6"/>
      <c r="N84" s="6"/>
      <c r="O84" s="11"/>
    </row>
    <row r="85" spans="1:16">
      <c r="A85">
        <v>5010</v>
      </c>
      <c r="B85" t="s">
        <v>67</v>
      </c>
      <c r="C85" s="6">
        <f>+'Results of Operations Regulated'!C85</f>
        <v>224482.10791624035</v>
      </c>
      <c r="E85" s="26">
        <f>+'Depr Allocation by County'!$L$12</f>
        <v>0.78248999147382692</v>
      </c>
      <c r="F85" s="6">
        <f>+C85*E85</f>
        <v>175655.00270940561</v>
      </c>
      <c r="H85" s="26">
        <f>+'Depr Allocation by County'!$L$14</f>
        <v>6.9764907092486672E-2</v>
      </c>
      <c r="I85" s="6">
        <f>+C85*H85</f>
        <v>15660.973402702075</v>
      </c>
      <c r="K85" s="26">
        <f>+'Depr Allocation by County'!L16</f>
        <v>0.14774510143368652</v>
      </c>
      <c r="L85" s="6">
        <f>+C85*K85</f>
        <v>33166.131804132696</v>
      </c>
      <c r="N85" s="6">
        <f>+F85+I85+L85</f>
        <v>224482.10791624038</v>
      </c>
      <c r="O85" s="11">
        <f>+E85+H85+K85</f>
        <v>1.0000000000000002</v>
      </c>
      <c r="P85" t="str">
        <f>IF(O85&lt;&gt;1,"ERR"," ")</f>
        <v xml:space="preserve"> </v>
      </c>
    </row>
    <row r="86" spans="1:16">
      <c r="A86">
        <v>5100</v>
      </c>
      <c r="B86" t="s">
        <v>68</v>
      </c>
      <c r="C86" s="6">
        <f>+'Results of Operations Regulated'!C86</f>
        <v>-6583.3939991542074</v>
      </c>
      <c r="E86" s="11">
        <f>+$E$85</f>
        <v>0.78248999147382692</v>
      </c>
      <c r="F86" s="6">
        <f>+C86*E86</f>
        <v>-5151.439914267019</v>
      </c>
      <c r="H86" s="11">
        <f>+$H$85</f>
        <v>6.9764907092486672E-2</v>
      </c>
      <c r="I86" s="6">
        <f>+C86*H86</f>
        <v>-459.28987070422755</v>
      </c>
      <c r="K86" s="11">
        <f>+K85</f>
        <v>0.14774510143368652</v>
      </c>
      <c r="L86" s="6">
        <f>+C86*K86</f>
        <v>-972.66421418296159</v>
      </c>
      <c r="N86" s="6">
        <f>+F86+I86+L86</f>
        <v>-6583.3939991542084</v>
      </c>
      <c r="O86" s="11">
        <f>+E86+H86+K86</f>
        <v>1.0000000000000002</v>
      </c>
      <c r="P86" t="str">
        <f>IF(O86&lt;&gt;1,"ERR"," ")</f>
        <v xml:space="preserve"> </v>
      </c>
    </row>
    <row r="87" spans="1:16">
      <c r="A87" t="s">
        <v>20</v>
      </c>
      <c r="C87" s="6"/>
      <c r="E87" s="11"/>
      <c r="F87" s="6"/>
      <c r="H87" s="11"/>
      <c r="I87" s="6"/>
      <c r="K87" s="11"/>
      <c r="L87" s="6"/>
      <c r="N87" s="6"/>
      <c r="O87" s="11"/>
    </row>
    <row r="88" spans="1:16">
      <c r="A88">
        <v>5151</v>
      </c>
      <c r="B88" t="s">
        <v>69</v>
      </c>
      <c r="C88" s="6">
        <f>+'Results of Operations Regulated'!C88</f>
        <v>0</v>
      </c>
      <c r="E88" s="15">
        <v>1</v>
      </c>
      <c r="F88" s="6">
        <f>+C88*E88</f>
        <v>0</v>
      </c>
      <c r="H88" s="15">
        <v>0</v>
      </c>
      <c r="I88" s="6">
        <f>+C88*H88</f>
        <v>0</v>
      </c>
      <c r="K88" s="15">
        <v>0</v>
      </c>
      <c r="L88" s="6">
        <f>+C88*K88</f>
        <v>0</v>
      </c>
      <c r="N88" s="6">
        <f>+F88+I88+L88</f>
        <v>0</v>
      </c>
      <c r="O88" s="11">
        <f>+E88+H88+K88</f>
        <v>1</v>
      </c>
      <c r="P88" t="str">
        <f>IF(O88&lt;&gt;1,"ERR"," ")</f>
        <v xml:space="preserve"> </v>
      </c>
    </row>
    <row r="89" spans="1:16">
      <c r="A89" t="s">
        <v>21</v>
      </c>
      <c r="C89" s="6"/>
      <c r="E89" s="11"/>
      <c r="F89" s="6"/>
      <c r="H89" s="11"/>
      <c r="I89" s="6"/>
      <c r="K89" s="11"/>
      <c r="L89" s="6"/>
      <c r="N89" s="6"/>
      <c r="O89" s="11"/>
    </row>
    <row r="90" spans="1:16">
      <c r="A90">
        <v>5220</v>
      </c>
      <c r="B90" t="s">
        <v>70</v>
      </c>
      <c r="C90" s="6">
        <f>+'Results of Operations Regulated'!C90</f>
        <v>4802.1799175756814</v>
      </c>
      <c r="E90" s="11">
        <f>+$E$25</f>
        <v>0.77916197521708785</v>
      </c>
      <c r="F90" s="6">
        <f t="shared" ref="F90:F97" si="43">+C90*E90</f>
        <v>3741.6759899261001</v>
      </c>
      <c r="H90" s="11">
        <f>+'Hours &amp; Miles by County'!$E$25</f>
        <v>7.6867423026312817E-2</v>
      </c>
      <c r="I90" s="6">
        <f t="shared" ref="I90:I97" si="44">+C90*H90</f>
        <v>369.13119517275391</v>
      </c>
      <c r="K90" s="11">
        <f>+K25</f>
        <v>0.14397060175659929</v>
      </c>
      <c r="L90" s="6">
        <f t="shared" ref="L90:L97" si="45">+C90*K90</f>
        <v>691.3727324768272</v>
      </c>
      <c r="N90" s="6">
        <f t="shared" ref="N90:N97" si="46">+F90+I90+L90</f>
        <v>4802.1799175756814</v>
      </c>
      <c r="O90" s="11">
        <f t="shared" ref="O90:O97" si="47">+E90+H90+K90</f>
        <v>0.99999999999999989</v>
      </c>
      <c r="P90" t="str">
        <f t="shared" ref="P90:P97" si="48">IF(O90&lt;&gt;1,"ERR"," ")</f>
        <v xml:space="preserve"> </v>
      </c>
    </row>
    <row r="91" spans="1:16">
      <c r="A91">
        <v>5230</v>
      </c>
      <c r="B91" t="s">
        <v>71</v>
      </c>
      <c r="C91" s="6">
        <f>+'Results of Operations Regulated'!C91</f>
        <v>2193.8839694656485</v>
      </c>
      <c r="E91" s="11">
        <f>+$E$27</f>
        <v>0.82</v>
      </c>
      <c r="F91" s="6">
        <f t="shared" si="43"/>
        <v>1798.9848549618316</v>
      </c>
      <c r="H91" s="26">
        <f>ROUND(+'Container Count by County'!$K$24,3)</f>
        <v>0.04</v>
      </c>
      <c r="I91" s="6">
        <f t="shared" si="44"/>
        <v>87.755358778625947</v>
      </c>
      <c r="K91" s="11">
        <f>+K27</f>
        <v>0.13</v>
      </c>
      <c r="L91" s="6">
        <f t="shared" si="45"/>
        <v>285.20491603053432</v>
      </c>
      <c r="N91" s="6">
        <f t="shared" si="46"/>
        <v>2171.945129770992</v>
      </c>
      <c r="O91" s="11">
        <f t="shared" si="47"/>
        <v>0.99</v>
      </c>
      <c r="P91" t="str">
        <f t="shared" si="48"/>
        <v>ERR</v>
      </c>
    </row>
    <row r="92" spans="1:16">
      <c r="A92">
        <v>5240</v>
      </c>
      <c r="B92" t="s">
        <v>72</v>
      </c>
      <c r="C92" s="6">
        <f>+'Results of Operations Regulated'!C92</f>
        <v>45712.677850900938</v>
      </c>
      <c r="E92" s="11">
        <f>+$E$25</f>
        <v>0.77916197521708785</v>
      </c>
      <c r="F92" s="6">
        <f t="shared" si="43"/>
        <v>35617.580366770395</v>
      </c>
      <c r="H92" s="11">
        <f>+'Hours &amp; Miles by County'!$E$25</f>
        <v>7.6867423026312817E-2</v>
      </c>
      <c r="I92" s="6">
        <f t="shared" si="44"/>
        <v>3513.8157460307625</v>
      </c>
      <c r="K92" s="11">
        <f>+K25</f>
        <v>0.14397060175659929</v>
      </c>
      <c r="L92" s="6">
        <f t="shared" si="45"/>
        <v>6581.2817380997758</v>
      </c>
      <c r="N92" s="6">
        <f t="shared" si="46"/>
        <v>45712.677850900931</v>
      </c>
      <c r="O92" s="11">
        <f t="shared" si="47"/>
        <v>0.99999999999999989</v>
      </c>
      <c r="P92" t="str">
        <f t="shared" si="48"/>
        <v xml:space="preserve"> </v>
      </c>
    </row>
    <row r="93" spans="1:16">
      <c r="A93">
        <v>5241</v>
      </c>
      <c r="B93" t="s">
        <v>73</v>
      </c>
      <c r="C93" s="6">
        <f>+'Results of Operations Regulated'!C93</f>
        <v>344.8135653833649</v>
      </c>
      <c r="E93" s="11">
        <f>+$E$25</f>
        <v>0.77916197521708785</v>
      </c>
      <c r="F93" s="6">
        <f t="shared" si="43"/>
        <v>268.66561868574905</v>
      </c>
      <c r="H93" s="11">
        <f>+'Hours &amp; Miles by County'!$E$25</f>
        <v>7.6867423026312817E-2</v>
      </c>
      <c r="I93" s="6">
        <f t="shared" si="44"/>
        <v>26.504930195534282</v>
      </c>
      <c r="K93" s="11">
        <f>+K25</f>
        <v>0.14397060175659929</v>
      </c>
      <c r="L93" s="6">
        <f t="shared" si="45"/>
        <v>49.643016502081537</v>
      </c>
      <c r="N93" s="6">
        <f t="shared" si="46"/>
        <v>344.81356538336485</v>
      </c>
      <c r="O93" s="11">
        <f t="shared" si="47"/>
        <v>0.99999999999999989</v>
      </c>
      <c r="P93" t="str">
        <f t="shared" si="48"/>
        <v xml:space="preserve"> </v>
      </c>
    </row>
    <row r="94" spans="1:16">
      <c r="A94">
        <v>5242</v>
      </c>
      <c r="B94" t="s">
        <v>74</v>
      </c>
      <c r="C94" s="6">
        <f>+'Results of Operations Regulated'!C94</f>
        <v>5038.6491511453441</v>
      </c>
      <c r="E94" s="11">
        <f>+$E$25</f>
        <v>0.77916197521708785</v>
      </c>
      <c r="F94" s="6">
        <f t="shared" si="43"/>
        <v>3925.9238250323092</v>
      </c>
      <c r="H94" s="11">
        <f>+'Hours &amp; Miles by County'!$E$25</f>
        <v>7.6867423026312817E-2</v>
      </c>
      <c r="I94" s="6">
        <f t="shared" si="44"/>
        <v>387.30797578226117</v>
      </c>
      <c r="K94" s="11">
        <f>+K25</f>
        <v>0.14397060175659929</v>
      </c>
      <c r="L94" s="6">
        <f t="shared" si="45"/>
        <v>725.41735033077339</v>
      </c>
      <c r="N94" s="6">
        <f t="shared" si="46"/>
        <v>5038.6491511453441</v>
      </c>
      <c r="O94" s="11">
        <f t="shared" si="47"/>
        <v>0.99999999999999989</v>
      </c>
      <c r="P94" t="str">
        <f t="shared" si="48"/>
        <v xml:space="preserve"> </v>
      </c>
    </row>
    <row r="95" spans="1:16">
      <c r="A95">
        <v>5260</v>
      </c>
      <c r="B95" t="s">
        <v>75</v>
      </c>
      <c r="C95" s="6">
        <f>+'Results of Operations Regulated'!C95</f>
        <v>46500.989534882639</v>
      </c>
      <c r="E95" s="11">
        <f>+$E$21</f>
        <v>0.73427369633070694</v>
      </c>
      <c r="F95" s="6">
        <f t="shared" si="43"/>
        <v>34144.453468813794</v>
      </c>
      <c r="H95" s="11">
        <f>+H21</f>
        <v>5.9818649619680551E-2</v>
      </c>
      <c r="I95" s="6">
        <f t="shared" si="44"/>
        <v>2781.6263999555767</v>
      </c>
      <c r="K95" s="11">
        <f>+K21</f>
        <v>0.2059076540496125</v>
      </c>
      <c r="L95" s="6">
        <f t="shared" si="45"/>
        <v>9574.9096661132662</v>
      </c>
      <c r="N95" s="6">
        <f t="shared" si="46"/>
        <v>46500.989534882632</v>
      </c>
      <c r="O95" s="11">
        <f t="shared" si="47"/>
        <v>1</v>
      </c>
      <c r="P95" t="str">
        <f t="shared" si="48"/>
        <v xml:space="preserve"> </v>
      </c>
    </row>
    <row r="96" spans="1:16">
      <c r="A96">
        <v>5270</v>
      </c>
      <c r="B96" t="s">
        <v>76</v>
      </c>
      <c r="C96" s="6">
        <f>+'Results of Operations Regulated'!C96</f>
        <v>7990.68</v>
      </c>
      <c r="E96" s="15">
        <v>0</v>
      </c>
      <c r="F96" s="6">
        <f t="shared" si="43"/>
        <v>0</v>
      </c>
      <c r="H96" s="15">
        <v>1</v>
      </c>
      <c r="I96" s="6">
        <f t="shared" si="44"/>
        <v>7990.68</v>
      </c>
      <c r="K96" s="15">
        <v>0</v>
      </c>
      <c r="L96" s="6">
        <f t="shared" si="45"/>
        <v>0</v>
      </c>
      <c r="N96" s="6">
        <f t="shared" si="46"/>
        <v>7990.68</v>
      </c>
      <c r="O96" s="11">
        <f t="shared" si="47"/>
        <v>1</v>
      </c>
      <c r="P96" t="str">
        <f t="shared" si="48"/>
        <v xml:space="preserve"> </v>
      </c>
    </row>
    <row r="97" spans="1:16">
      <c r="A97">
        <v>5290</v>
      </c>
      <c r="B97" t="s">
        <v>77</v>
      </c>
      <c r="C97" s="6">
        <f>+'Results of Operations Regulated'!C97</f>
        <v>197.63655157320761</v>
      </c>
      <c r="E97" s="11">
        <f>+$E$25</f>
        <v>0.77916197521708785</v>
      </c>
      <c r="F97" s="6">
        <f t="shared" si="43"/>
        <v>153.9908858988743</v>
      </c>
      <c r="H97" s="11">
        <f>+'Hours &amp; Miles by County'!$E$25</f>
        <v>7.6867423026312817E-2</v>
      </c>
      <c r="I97" s="6">
        <f t="shared" si="44"/>
        <v>15.19181241523944</v>
      </c>
      <c r="K97" s="11">
        <f>+K25</f>
        <v>0.14397060175659929</v>
      </c>
      <c r="L97" s="6">
        <f t="shared" si="45"/>
        <v>28.453853259093869</v>
      </c>
      <c r="N97" s="6">
        <f t="shared" si="46"/>
        <v>197.63655157320761</v>
      </c>
      <c r="O97" s="11">
        <f t="shared" si="47"/>
        <v>0.99999999999999989</v>
      </c>
      <c r="P97" t="str">
        <f t="shared" si="48"/>
        <v xml:space="preserve"> </v>
      </c>
    </row>
    <row r="98" spans="1:16">
      <c r="A98" t="s">
        <v>22</v>
      </c>
      <c r="C98" s="6"/>
      <c r="E98" s="11"/>
      <c r="F98" s="6"/>
      <c r="H98" s="11"/>
      <c r="I98" s="6"/>
      <c r="K98" s="11"/>
      <c r="L98" s="6"/>
      <c r="N98" s="6"/>
      <c r="O98" s="11"/>
    </row>
    <row r="99" spans="1:16">
      <c r="A99">
        <v>5320</v>
      </c>
      <c r="B99" t="s">
        <v>78</v>
      </c>
      <c r="C99" s="6">
        <f>+'Results of Operations Regulated'!C99</f>
        <v>80019.48034223057</v>
      </c>
      <c r="E99" s="11">
        <f>$E$64</f>
        <v>0.74972468746804022</v>
      </c>
      <c r="F99" s="6">
        <f>+C99*E99</f>
        <v>59992.579890933805</v>
      </c>
      <c r="H99" s="26">
        <f>+'Overhead Allocation'!$F$20</f>
        <v>7.6836283747601458E-2</v>
      </c>
      <c r="I99" s="6">
        <f>+C99*H99</f>
        <v>6148.3994969112455</v>
      </c>
      <c r="K99" s="11">
        <f>$K$64</f>
        <v>0.17343902878435841</v>
      </c>
      <c r="L99" s="6">
        <f>+C99*K99</f>
        <v>13878.50095438553</v>
      </c>
      <c r="N99" s="6">
        <f>+F99+I99+L99</f>
        <v>80019.48034223057</v>
      </c>
      <c r="O99" s="11">
        <f>+E99+H99+K99</f>
        <v>1</v>
      </c>
      <c r="P99" t="str">
        <f>IF(O99&lt;&gt;1,"ERR"," ")</f>
        <v xml:space="preserve"> </v>
      </c>
    </row>
    <row r="100" spans="1:16" ht="13.5" thickBot="1">
      <c r="A100" s="157">
        <v>5322</v>
      </c>
      <c r="B100" s="157" t="s">
        <v>370</v>
      </c>
      <c r="C100" s="634">
        <f>+'Results of Operations Regulated'!C100</f>
        <v>0</v>
      </c>
      <c r="D100" s="635"/>
      <c r="E100" s="104">
        <f>+$E$64</f>
        <v>0.74972468746804022</v>
      </c>
      <c r="F100" s="634">
        <f>+C100*E100</f>
        <v>0</v>
      </c>
      <c r="G100" s="635"/>
      <c r="H100" s="104">
        <f>+'Overhead Allocation'!$F$20</f>
        <v>7.6836283747601458E-2</v>
      </c>
      <c r="I100" s="634">
        <f>+C100*H100</f>
        <v>0</v>
      </c>
      <c r="J100" s="635"/>
      <c r="K100" s="104">
        <f>+$K$64</f>
        <v>0.17343902878435841</v>
      </c>
      <c r="L100" s="634">
        <f>+C100*K100</f>
        <v>0</v>
      </c>
      <c r="M100" s="635"/>
      <c r="N100" s="634">
        <f>+F100+I100+L100</f>
        <v>0</v>
      </c>
      <c r="O100" s="104">
        <f>+E100+H100+K100</f>
        <v>1</v>
      </c>
      <c r="P100" s="157" t="str">
        <f>IF(O100&lt;&gt;1,"ERR"," ")</f>
        <v xml:space="preserve"> </v>
      </c>
    </row>
    <row r="101" spans="1:16">
      <c r="C101" s="6"/>
      <c r="E101" s="11"/>
      <c r="H101" s="11"/>
      <c r="K101" s="11"/>
      <c r="O101" s="11"/>
    </row>
    <row r="102" spans="1:16" ht="13.5" thickBot="1">
      <c r="B102" t="s">
        <v>23</v>
      </c>
      <c r="C102" s="7">
        <f>SUM(C25:C100)</f>
        <v>2506670.755072555</v>
      </c>
      <c r="D102" s="5"/>
      <c r="E102" s="12">
        <f>+F102/C102</f>
        <v>0.75236116997980318</v>
      </c>
      <c r="F102" s="7">
        <f>SUM(F25:F100)</f>
        <v>1885921.742040544</v>
      </c>
      <c r="G102" s="5"/>
      <c r="H102" s="12">
        <f>+I102/C102</f>
        <v>7.0275116823618061E-2</v>
      </c>
      <c r="I102" s="7">
        <f>SUM(I25:I100)</f>
        <v>176156.5801510707</v>
      </c>
      <c r="J102" s="5"/>
      <c r="K102" s="12">
        <f>+L102/C102</f>
        <v>0.17732371615526851</v>
      </c>
      <c r="L102" s="7">
        <f>SUM(L25:L100)</f>
        <v>444492.17346719833</v>
      </c>
      <c r="M102" s="5"/>
      <c r="N102" s="7">
        <f>SUM(N25:N100)</f>
        <v>2506570.4956588149</v>
      </c>
      <c r="O102" s="12">
        <f>+E102+H102+K102</f>
        <v>0.99996000295868981</v>
      </c>
    </row>
    <row r="103" spans="1:16">
      <c r="C103" s="6"/>
      <c r="E103" s="11"/>
      <c r="F103" s="6"/>
      <c r="H103" s="11"/>
      <c r="I103" s="6"/>
      <c r="K103" s="11"/>
      <c r="L103" s="6"/>
      <c r="N103" s="6"/>
      <c r="O103" s="11"/>
    </row>
    <row r="104" spans="1:16" ht="13.5" thickBot="1">
      <c r="B104" t="s">
        <v>24</v>
      </c>
      <c r="C104" s="8">
        <f>+C21-C102</f>
        <v>121767.78592744516</v>
      </c>
      <c r="D104" s="13"/>
      <c r="E104" s="14">
        <f>+F104/C104</f>
        <v>0.36193103703040475</v>
      </c>
      <c r="F104" s="8">
        <f>+F21-F102</f>
        <v>44071.541037616553</v>
      </c>
      <c r="G104" s="13"/>
      <c r="H104" s="14">
        <f>+I104/C104</f>
        <v>-0.15543467326740146</v>
      </c>
      <c r="I104" s="8">
        <f>+I21-I102</f>
        <v>-18926.936020127323</v>
      </c>
      <c r="J104" s="13"/>
      <c r="K104" s="14">
        <f>+L104/C104</f>
        <v>0.79432700189958449</v>
      </c>
      <c r="L104" s="8">
        <f>+L21-L102</f>
        <v>96723.440323697927</v>
      </c>
      <c r="M104" s="13"/>
      <c r="N104" s="8">
        <f>+N21-N102</f>
        <v>121868.04534118529</v>
      </c>
      <c r="O104" s="14">
        <f>+E104+H104+K104</f>
        <v>1.0008233656625878</v>
      </c>
    </row>
    <row r="105" spans="1:16" ht="13.5" thickTop="1">
      <c r="C105" s="6"/>
      <c r="E105" s="11"/>
      <c r="F105" s="6"/>
      <c r="H105" s="11"/>
      <c r="I105" s="6"/>
      <c r="K105" s="11"/>
      <c r="L105" s="6"/>
      <c r="N105" s="6"/>
      <c r="O105" s="11"/>
    </row>
    <row r="106" spans="1:16">
      <c r="B106" t="s">
        <v>102</v>
      </c>
      <c r="C106" s="10">
        <f>+C102/C21</f>
        <v>0.95367295676576169</v>
      </c>
      <c r="E106" s="11"/>
      <c r="F106" s="10">
        <f>+F102/F21</f>
        <v>0.97716492517148734</v>
      </c>
      <c r="H106" s="11"/>
      <c r="I106" s="10">
        <f>+I102/I21</f>
        <v>1.1203776560377168</v>
      </c>
      <c r="K106" s="11"/>
      <c r="L106" s="10">
        <f>+L102/L21</f>
        <v>0.82128483018771903</v>
      </c>
      <c r="N106" s="10">
        <f>+N102/N21</f>
        <v>0.9536348126691141</v>
      </c>
      <c r="O106" s="11"/>
    </row>
  </sheetData>
  <mergeCells count="6">
    <mergeCell ref="K6:L6"/>
    <mergeCell ref="K7:L7"/>
    <mergeCell ref="E6:F6"/>
    <mergeCell ref="E7:F7"/>
    <mergeCell ref="H6:I6"/>
    <mergeCell ref="H7:I7"/>
  </mergeCells>
  <pageMargins left="0.27" right="0.25" top="0.52" bottom="0.45" header="0.5" footer="0.5"/>
  <pageSetup scale="89" fitToHeight="2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23D5201E40BE94A9AC3E4C1A84568C7" ma:contentTypeVersion="20" ma:contentTypeDescription="" ma:contentTypeScope="" ma:versionID="4d4a6c5683feaaca7cf1244b22afb59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Pending</CaseStatus>
    <OpenedDate xmlns="dc463f71-b30c-4ab2-9473-d307f9d35888">2022-12-16T08:00:00+00:00</OpenedDate>
    <SignificantOrder xmlns="dc463f71-b30c-4ab2-9473-d307f9d35888">false</SignificantOrder>
    <Date1 xmlns="dc463f71-b30c-4ab2-9473-d307f9d35888">2023-01-12T08:00:00+00:00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Zippy Disposal Service, Inc.</CaseCompanyNames>
    <Nickname xmlns="http://schemas.microsoft.com/sharepoint/v3" xsi:nil="true"/>
    <DocketNumber xmlns="dc463f71-b30c-4ab2-9473-d307f9d35888">220950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3D82B6F-34BC-46ED-A671-AAB1D18FD630}"/>
</file>

<file path=customXml/itemProps2.xml><?xml version="1.0" encoding="utf-8"?>
<ds:datastoreItem xmlns:ds="http://schemas.openxmlformats.org/officeDocument/2006/customXml" ds:itemID="{B9519987-76EA-47D1-96E8-720377119CFF}"/>
</file>

<file path=customXml/itemProps3.xml><?xml version="1.0" encoding="utf-8"?>
<ds:datastoreItem xmlns:ds="http://schemas.openxmlformats.org/officeDocument/2006/customXml" ds:itemID="{50121300-C938-4FAB-AAD2-CEF18888806F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A801C576-817C-44E9-9FEF-625564A573C8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E8A760EC-4AA3-41C6-B25C-865BBCFE235D}">
  <ds:schemaRefs>
    <ds:schemaRef ds:uri="http://purl.org/dc/terms/"/>
    <ds:schemaRef ds:uri="dc463f71-b30c-4ab2-9473-d307f9d35888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52</vt:i4>
      </vt:variant>
      <vt:variant>
        <vt:lpstr>Named Ranges</vt:lpstr>
      </vt:variant>
      <vt:variant>
        <vt:i4>87</vt:i4>
      </vt:variant>
    </vt:vector>
  </HeadingPairs>
  <TitlesOfParts>
    <vt:vector size="139" baseType="lpstr">
      <vt:lpstr>Lurito-Old</vt:lpstr>
      <vt:lpstr>Staff LG Total</vt:lpstr>
      <vt:lpstr>Staff Adjustment Summary</vt:lpstr>
      <vt:lpstr>Results of Operations Staff </vt:lpstr>
      <vt:lpstr>Results of Operations Regulated</vt:lpstr>
      <vt:lpstr>Staff Pro Forma</vt:lpstr>
      <vt:lpstr>Restating AJEs</vt:lpstr>
      <vt:lpstr>Proforma AJEs</vt:lpstr>
      <vt:lpstr>Cost Allocations</vt:lpstr>
      <vt:lpstr>Cost Allocations-Contracts</vt:lpstr>
      <vt:lpstr>Cost Allocations-Recycle</vt:lpstr>
      <vt:lpstr>Cost Allocations-Rolloff</vt:lpstr>
      <vt:lpstr>Depr Allocation</vt:lpstr>
      <vt:lpstr>Hours &amp; Miles</vt:lpstr>
      <vt:lpstr>Container Count</vt:lpstr>
      <vt:lpstr>DEPN2K</vt:lpstr>
      <vt:lpstr>Wutc Balance Sheet</vt:lpstr>
      <vt:lpstr>Monthy Income Statements</vt:lpstr>
      <vt:lpstr>Priceout-Chelan</vt:lpstr>
      <vt:lpstr>Priceout-Douglas</vt:lpstr>
      <vt:lpstr>Priceout-Okanogan</vt:lpstr>
      <vt:lpstr>Lurito Old-Chelan</vt:lpstr>
      <vt:lpstr>Staff LG Total Chelan</vt:lpstr>
      <vt:lpstr>Lurito Old-Douglas</vt:lpstr>
      <vt:lpstr>Staff LG Total Douglas</vt:lpstr>
      <vt:lpstr>Lurito Old-Okanogan</vt:lpstr>
      <vt:lpstr>Staff LG Total Okanogan</vt:lpstr>
      <vt:lpstr>Overhead Allocation</vt:lpstr>
      <vt:lpstr>Depr Allocation by County</vt:lpstr>
      <vt:lpstr>Hours &amp; Miles by County</vt:lpstr>
      <vt:lpstr>Container Count by County</vt:lpstr>
      <vt:lpstr>Drop Box Allocation</vt:lpstr>
      <vt:lpstr>Disposal Fee Breakdown</vt:lpstr>
      <vt:lpstr>Service Counts</vt:lpstr>
      <vt:lpstr>Wage Summary</vt:lpstr>
      <vt:lpstr>L&amp;I</vt:lpstr>
      <vt:lpstr>Health Insurance</vt:lpstr>
      <vt:lpstr>City Contracts</vt:lpstr>
      <vt:lpstr>Disposal Fees</vt:lpstr>
      <vt:lpstr>Previous rate increases</vt:lpstr>
      <vt:lpstr>Fuel Summary</vt:lpstr>
      <vt:lpstr>Fuel Proforma</vt:lpstr>
      <vt:lpstr>Employment Security</vt:lpstr>
      <vt:lpstr>Rent</vt:lpstr>
      <vt:lpstr>Checklist</vt:lpstr>
      <vt:lpstr>General Data</vt:lpstr>
      <vt:lpstr>Monthly Data-Hours &amp; Miles</vt:lpstr>
      <vt:lpstr>Monthly Data-Container Count</vt:lpstr>
      <vt:lpstr>Monthly Data-Disposal Fees</vt:lpstr>
      <vt:lpstr>Service Count Data</vt:lpstr>
      <vt:lpstr>Pateros Service Counts</vt:lpstr>
      <vt:lpstr>Bridgeport Service Counts</vt:lpstr>
      <vt:lpstr>Database</vt:lpstr>
      <vt:lpstr>Database_MI</vt:lpstr>
      <vt:lpstr>'Staff LG Total'!Debt_Rate</vt:lpstr>
      <vt:lpstr>'Staff LG Total Chelan'!Debt_Rate</vt:lpstr>
      <vt:lpstr>'Staff LG Total Douglas'!Debt_Rate</vt:lpstr>
      <vt:lpstr>'Staff LG Total Okanogan'!Debt_Rate</vt:lpstr>
      <vt:lpstr>'Staff LG Total'!debtP</vt:lpstr>
      <vt:lpstr>'Staff LG Total Chelan'!debtP</vt:lpstr>
      <vt:lpstr>'Staff LG Total Douglas'!debtP</vt:lpstr>
      <vt:lpstr>'Staff LG Total Okanogan'!debtP</vt:lpstr>
      <vt:lpstr>'Staff LG Total'!Equity_percent</vt:lpstr>
      <vt:lpstr>'Staff LG Total Chelan'!Equity_percent</vt:lpstr>
      <vt:lpstr>'Staff LG Total Douglas'!Equity_percent</vt:lpstr>
      <vt:lpstr>'Staff LG Total Okanogan'!Equity_percent</vt:lpstr>
      <vt:lpstr>'Staff LG Total'!equityP</vt:lpstr>
      <vt:lpstr>'Staff LG Total Chelan'!equityP</vt:lpstr>
      <vt:lpstr>'Staff LG Total Douglas'!equityP</vt:lpstr>
      <vt:lpstr>'Staff LG Total Okanogan'!equityP</vt:lpstr>
      <vt:lpstr>'Staff LG Total'!expenses</vt:lpstr>
      <vt:lpstr>'Staff LG Total Chelan'!expenses</vt:lpstr>
      <vt:lpstr>'Staff LG Total Douglas'!expenses</vt:lpstr>
      <vt:lpstr>'Staff LG Total Okanogan'!expenses</vt:lpstr>
      <vt:lpstr>'Staff LG Total'!Investment</vt:lpstr>
      <vt:lpstr>'Staff LG Total Chelan'!Investment</vt:lpstr>
      <vt:lpstr>'Staff LG Total Douglas'!Investment</vt:lpstr>
      <vt:lpstr>'Staff LG Total Okanogan'!Investment</vt:lpstr>
      <vt:lpstr>PAGE_1</vt:lpstr>
      <vt:lpstr>'Staff LG Total'!Pfd_weighted</vt:lpstr>
      <vt:lpstr>'Staff LG Total Chelan'!Pfd_weighted</vt:lpstr>
      <vt:lpstr>'Staff LG Total Douglas'!Pfd_weighted</vt:lpstr>
      <vt:lpstr>'Staff LG Total Okanogan'!Pfd_weighted</vt:lpstr>
      <vt:lpstr>'Bridgeport Service Counts'!Print_Area</vt:lpstr>
      <vt:lpstr>DEPN2K!Print_Area</vt:lpstr>
      <vt:lpstr>'Hours &amp; Miles'!Print_Area</vt:lpstr>
      <vt:lpstr>'Lurito Old-Chelan'!Print_Area</vt:lpstr>
      <vt:lpstr>'Lurito Old-Douglas'!Print_Area</vt:lpstr>
      <vt:lpstr>'Lurito Old-Okanogan'!Print_Area</vt:lpstr>
      <vt:lpstr>'Lurito-Old'!Print_Area</vt:lpstr>
      <vt:lpstr>'Pateros Service Counts'!Print_Area</vt:lpstr>
      <vt:lpstr>'Priceout-Chelan'!Print_Area</vt:lpstr>
      <vt:lpstr>'Priceout-Douglas'!Print_Area</vt:lpstr>
      <vt:lpstr>'Priceout-Okanogan'!Print_Area</vt:lpstr>
      <vt:lpstr>'Results of Operations Regulated'!Print_Area</vt:lpstr>
      <vt:lpstr>'Results of Operations Staff '!Print_Area</vt:lpstr>
      <vt:lpstr>'Service Count Data'!Print_Area</vt:lpstr>
      <vt:lpstr>'Service Counts'!Print_Area</vt:lpstr>
      <vt:lpstr>'Staff LG Total'!Print_Area</vt:lpstr>
      <vt:lpstr>'Staff LG Total Chelan'!Print_Area</vt:lpstr>
      <vt:lpstr>'Staff LG Total Douglas'!Print_Area</vt:lpstr>
      <vt:lpstr>'Staff LG Total Okanogan'!Print_Area</vt:lpstr>
      <vt:lpstr>'Wage Summary'!Print_Area</vt:lpstr>
      <vt:lpstr>'Wutc Balance Sheet'!Print_Area</vt:lpstr>
      <vt:lpstr>Print_Area</vt:lpstr>
      <vt:lpstr>Print_Area_MI</vt:lpstr>
      <vt:lpstr>'Service Counts'!Print_Titles</vt:lpstr>
      <vt:lpstr>'Staff LG Total'!regDebt_weighted</vt:lpstr>
      <vt:lpstr>'Staff LG Total Chelan'!regDebt_weighted</vt:lpstr>
      <vt:lpstr>'Staff LG Total Douglas'!regDebt_weighted</vt:lpstr>
      <vt:lpstr>'Staff LG Total Okanogan'!regDebt_weighted</vt:lpstr>
      <vt:lpstr>'Staff LG Total'!Revenue</vt:lpstr>
      <vt:lpstr>'Staff LG Total Chelan'!Revenue</vt:lpstr>
      <vt:lpstr>'Staff LG Total Douglas'!Revenue</vt:lpstr>
      <vt:lpstr>'Staff LG Total Okanogan'!Revenue</vt:lpstr>
      <vt:lpstr>'Staff LG Total'!slope</vt:lpstr>
      <vt:lpstr>'Staff LG Total Chelan'!slope</vt:lpstr>
      <vt:lpstr>'Staff LG Total Douglas'!slope</vt:lpstr>
      <vt:lpstr>'Staff LG Total Okanogan'!slope</vt:lpstr>
      <vt:lpstr>'Staff LG Total'!taxrate</vt:lpstr>
      <vt:lpstr>'Staff LG Total Chelan'!taxrate</vt:lpstr>
      <vt:lpstr>'Staff LG Total Douglas'!taxrate</vt:lpstr>
      <vt:lpstr>'Staff LG Total Okanogan'!taxrate</vt:lpstr>
      <vt:lpstr>'Staff LG Total'!y_inter1</vt:lpstr>
      <vt:lpstr>'Staff LG Total Chelan'!y_inter1</vt:lpstr>
      <vt:lpstr>'Staff LG Total Douglas'!y_inter1</vt:lpstr>
      <vt:lpstr>'Staff LG Total Okanogan'!y_inter1</vt:lpstr>
      <vt:lpstr>'Staff LG Total'!y_inter2</vt:lpstr>
      <vt:lpstr>'Staff LG Total Chelan'!y_inter2</vt:lpstr>
      <vt:lpstr>'Staff LG Total Douglas'!y_inter2</vt:lpstr>
      <vt:lpstr>'Staff LG Total Okanogan'!y_inter2</vt:lpstr>
      <vt:lpstr>'Staff LG Total'!y_inter3</vt:lpstr>
      <vt:lpstr>'Staff LG Total Chelan'!y_inter3</vt:lpstr>
      <vt:lpstr>'Staff LG Total Douglas'!y_inter3</vt:lpstr>
      <vt:lpstr>'Staff LG Total Okanogan'!y_inter3</vt:lpstr>
      <vt:lpstr>'Staff LG Total'!y_inter4</vt:lpstr>
      <vt:lpstr>'Staff LG Total Chelan'!y_inter4</vt:lpstr>
      <vt:lpstr>'Staff LG Total Douglas'!y_inter4</vt:lpstr>
      <vt:lpstr>'Staff LG Total Okanogan'!y_inter4</vt:lpstr>
    </vt:vector>
  </TitlesOfParts>
  <Company>Gateway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Glen</cp:lastModifiedBy>
  <cp:lastPrinted>2022-12-16T21:42:05Z</cp:lastPrinted>
  <dcterms:created xsi:type="dcterms:W3CDTF">2003-12-07T20:58:46Z</dcterms:created>
  <dcterms:modified xsi:type="dcterms:W3CDTF">2022-12-16T22:38:36Z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0x0101006E56B4D1795A2E4DB2F0B01679ED314A00523D5201E40BE94A9AC3E4C1A84568C7</vt:lpwstr>
  </property>
  <property fmtid="{D5CDD505-2E9C-101B-9397-08002B2CF9AE}" pid="3" name="IsEFSEC">
    <vt:bool>false</vt:bool>
  </property>
  <property fmtid="{D5CDD505-2E9C-101B-9397-08002B2CF9AE}" pid="4" name="_docset_NoMedatataSyncRequired">
    <vt:lpwstr>False</vt:lpwstr>
  </property>
</Properties>
</file>