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vision\Accounting II\WUTC Filings\Other Rate Cases\2023 Disposal Increase\4172\"/>
    </mc:Choice>
  </mc:AlternateContent>
  <xr:revisionPtr revIDLastSave="0" documentId="13_ncr:1_{FC164A9D-FBEE-4342-8F04-17FA21D30065}" xr6:coauthVersionLast="47" xr6:coauthVersionMax="47" xr10:uidLastSave="{00000000-0000-0000-0000-000000000000}"/>
  <bookViews>
    <workbookView xWindow="2640" yWindow="180" windowWidth="21600" windowHeight="11325" tabRatio="730" activeTab="1" xr2:uid="{00000000-000D-0000-FFFF-FFFF00000000}"/>
  </bookViews>
  <sheets>
    <sheet name="Tariff Changes" sheetId="16" r:id="rId1"/>
    <sheet name="Price Out Rates" sheetId="7" r:id="rId2"/>
    <sheet name="References" sheetId="4" r:id="rId3"/>
    <sheet name="Disposal Summary (with IC)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COS1">#REF!</definedName>
    <definedName name="_COS2">#REF!</definedName>
    <definedName name="_Key1" hidden="1">#REF!</definedName>
    <definedName name="_Key2" hidden="1">'[1]GL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>DATEVALUE("4/1/"&amp;TheYear)-WEEKDAY(DATEVALUE("4/1/"&amp;TheYear))+1</definedName>
    <definedName name="AugSun1">DATEVALUE("8/1/"&amp;TheYear)-WEEKDAY(DATEVALUE("8/1/"&amp;TheYear))+1</definedName>
    <definedName name="autemplate">'[2]AU Mapping TEMPLATE'!$A$1:$B$335</definedName>
    <definedName name="coa">'[3]lawson extract'!$D$2:$E$2761</definedName>
    <definedName name="colist">'[2]AW Co''s - Mapped only 10-23-08'!$A$2:$L$2107</definedName>
    <definedName name="color">#REF!</definedName>
    <definedName name="CommlStaffPriceOut">'[4]Price Out-Reg EASTSIDE-Resi'!#REF!</definedName>
    <definedName name="DBxStaffPriceOut">'[4]Price Out-Reg EASTSIDE-Resi'!#REF!</definedName>
    <definedName name="DecSun1">DATEVALUE("12/1/"&amp;TheYear)-WEEKDAY(DATEVALUE("12/1/"&amp;TheYear))+1</definedName>
    <definedName name="delete">'[5]Excluded divisions'!$C$2:$C$108</definedName>
    <definedName name="Division_Number">#REF!</definedName>
    <definedName name="DivName">[6]Start!$G$2</definedName>
    <definedName name="DivNo">'[7]Cont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>[6]Start!$B$3</definedName>
    <definedName name="JEInitials">[6]Start!$B$7</definedName>
    <definedName name="JulSun1">DATEVALUE("7/1/"&amp;TheYear)-WEEKDAY(DATEVALUE("7/1/"&amp;TheYear))+1</definedName>
    <definedName name="MATRIX">#REF!</definedName>
    <definedName name="MEDate">[8]Calcuation!$I$3</definedName>
    <definedName name="MFStaffPriceOut">'[4]Price Out-Reg EASTSIDE-Resi'!#REF!</definedName>
    <definedName name="NovSun1">DATEVALUE("11/1/"&amp;TheYear)-WEEKDAY(DATEVALUE("11/1/"&amp;TheYear))+1</definedName>
    <definedName name="OctSun1">DATEVALUE("10/1/"&amp;TheYear)-WEEKDAY(DATEVALUE("10/1/"&amp;TheYear))+1</definedName>
    <definedName name="OPRD">#REF!</definedName>
    <definedName name="_xlnm.Print_Area" localSheetId="3">'Disposal Summary (with IC)'!$F$17:$T$127</definedName>
    <definedName name="Print_Area_MI">#REF!</definedName>
    <definedName name="Print_Area_MIc">#REF!</definedName>
    <definedName name="_xlnm.Print_Titles" localSheetId="3">'Disposal Summary (with IC)'!$3:$3</definedName>
    <definedName name="RefType">[6]Start!$B$5</definedName>
    <definedName name="report">[9]ST97TONS!#REF!</definedName>
    <definedName name="ReslStaffPriceOut">'[4]Price Out-Reg EASTSIDE-Resi'!#REF!</definedName>
    <definedName name="search1" hidden="1">#REF!</definedName>
    <definedName name="search2" hidden="1">#REF!</definedName>
    <definedName name="SectorNme">[8]Calcuation!$I$5</definedName>
    <definedName name="SepSun1">DATEVALUE("9/1/"&amp;TheYear)-WEEKDAY(DATEVALUE("9/1/"&amp;TheYear))+1</definedName>
    <definedName name="slope">'[10]LG Nonpublic 2018 V5.0'!$X$58</definedName>
    <definedName name="sort1">#REF!</definedName>
    <definedName name="SPECIAL1" hidden="1">#REF!</definedName>
    <definedName name="SPECIAL2" hidden="1">#REF!</definedName>
    <definedName name="Tukwila_Report">[9]ST97TONS!#REF!</definedName>
    <definedName name="Tukwila_Report1">[9]ST97TONS!#REF!</definedName>
    <definedName name="y_inter1">'[10]LG Nonpublic 2018 V5.0'!$W$55</definedName>
    <definedName name="y_inter2">'[10]LG Nonpublic 2018 V5.0'!$W$56</definedName>
    <definedName name="y_inter3">'[10]LG Nonpublic 2018 V5.0'!$Y$55</definedName>
    <definedName name="y_inter4">'[10]LG Nonpublic 2018 V5.0'!$Y$56</definedName>
    <definedName name="Year">#REF!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7" l="1"/>
  <c r="G74" i="7"/>
  <c r="G57" i="7"/>
  <c r="G56" i="7"/>
  <c r="H116" i="7"/>
  <c r="H117" i="7"/>
  <c r="G117" i="7"/>
  <c r="G116" i="7"/>
  <c r="D2" i="7"/>
  <c r="G16" i="7" l="1"/>
  <c r="D49" i="4" l="1"/>
  <c r="G47" i="4"/>
  <c r="E69" i="7"/>
  <c r="C44" i="16"/>
  <c r="A44" i="16"/>
  <c r="C24" i="16"/>
  <c r="A24" i="16"/>
  <c r="H61" i="7"/>
  <c r="G61" i="7"/>
  <c r="F61" i="7"/>
  <c r="G59" i="7"/>
  <c r="H59" i="7" s="1"/>
  <c r="F59" i="7"/>
  <c r="C75" i="16"/>
  <c r="A75" i="16"/>
  <c r="C67" i="16"/>
  <c r="C68" i="16"/>
  <c r="C69" i="16"/>
  <c r="C70" i="16"/>
  <c r="C71" i="16"/>
  <c r="C72" i="16"/>
  <c r="C73" i="16"/>
  <c r="A67" i="16"/>
  <c r="A68" i="16"/>
  <c r="A69" i="16"/>
  <c r="A70" i="16"/>
  <c r="A71" i="16"/>
  <c r="A72" i="16"/>
  <c r="A73" i="16"/>
  <c r="C119" i="16"/>
  <c r="C120" i="16"/>
  <c r="C129" i="16"/>
  <c r="C130" i="16"/>
  <c r="C128" i="16"/>
  <c r="C125" i="16"/>
  <c r="C126" i="16"/>
  <c r="C124" i="16"/>
  <c r="A129" i="16"/>
  <c r="A130" i="16"/>
  <c r="A128" i="16"/>
  <c r="A125" i="16"/>
  <c r="A126" i="16"/>
  <c r="A124" i="16"/>
  <c r="C116" i="16"/>
  <c r="C114" i="16"/>
  <c r="C113" i="16"/>
  <c r="C111" i="16"/>
  <c r="C110" i="16"/>
  <c r="G103" i="7"/>
  <c r="C109" i="16"/>
  <c r="C101" i="16"/>
  <c r="C102" i="16"/>
  <c r="C100" i="16"/>
  <c r="C115" i="16"/>
  <c r="C112" i="16"/>
  <c r="C104" i="16"/>
  <c r="C105" i="16"/>
  <c r="C106" i="16"/>
  <c r="C107" i="16"/>
  <c r="C108" i="16"/>
  <c r="C103" i="16"/>
  <c r="C91" i="16"/>
  <c r="C92" i="16"/>
  <c r="C93" i="16"/>
  <c r="C94" i="16"/>
  <c r="C95" i="16"/>
  <c r="C96" i="16"/>
  <c r="C97" i="16"/>
  <c r="C98" i="16"/>
  <c r="C99" i="16"/>
  <c r="C90" i="16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58" i="7"/>
  <c r="F60" i="7"/>
  <c r="A116" i="16"/>
  <c r="A115" i="16"/>
  <c r="A114" i="16"/>
  <c r="A113" i="16"/>
  <c r="A112" i="16"/>
  <c r="A111" i="16"/>
  <c r="A110" i="16"/>
  <c r="A109" i="16"/>
  <c r="A104" i="16"/>
  <c r="A105" i="16"/>
  <c r="A106" i="16"/>
  <c r="A107" i="16"/>
  <c r="A108" i="16"/>
  <c r="A103" i="16"/>
  <c r="A101" i="16"/>
  <c r="A102" i="16"/>
  <c r="A100" i="16"/>
  <c r="A91" i="16"/>
  <c r="A92" i="16"/>
  <c r="A93" i="16"/>
  <c r="A94" i="16"/>
  <c r="A95" i="16"/>
  <c r="A96" i="16"/>
  <c r="A97" i="16"/>
  <c r="A98" i="16"/>
  <c r="A99" i="16"/>
  <c r="A90" i="16"/>
  <c r="C58" i="16"/>
  <c r="C59" i="16"/>
  <c r="C60" i="16"/>
  <c r="C61" i="16"/>
  <c r="C62" i="16"/>
  <c r="C63" i="16"/>
  <c r="C64" i="16"/>
  <c r="C65" i="16"/>
  <c r="C66" i="16"/>
  <c r="C57" i="16"/>
  <c r="C83" i="16"/>
  <c r="C84" i="16"/>
  <c r="C82" i="16"/>
  <c r="C80" i="16"/>
  <c r="C79" i="16"/>
  <c r="C78" i="16"/>
  <c r="E87" i="16"/>
  <c r="C87" i="16"/>
  <c r="A84" i="16"/>
  <c r="A83" i="16"/>
  <c r="A82" i="16"/>
  <c r="A80" i="16"/>
  <c r="A79" i="16"/>
  <c r="A78" i="16"/>
  <c r="G94" i="7"/>
  <c r="H94" i="7" s="1"/>
  <c r="A64" i="16"/>
  <c r="A65" i="16"/>
  <c r="A66" i="16"/>
  <c r="A58" i="16"/>
  <c r="A59" i="16"/>
  <c r="A60" i="16"/>
  <c r="A61" i="16"/>
  <c r="A62" i="16"/>
  <c r="A63" i="16"/>
  <c r="A57" i="16"/>
  <c r="C56" i="16"/>
  <c r="C54" i="16"/>
  <c r="C55" i="16"/>
  <c r="C53" i="16"/>
  <c r="C51" i="16"/>
  <c r="C52" i="16"/>
  <c r="C50" i="16"/>
  <c r="A56" i="16"/>
  <c r="A55" i="16"/>
  <c r="A54" i="16"/>
  <c r="A53" i="16"/>
  <c r="A52" i="16"/>
  <c r="A51" i="16"/>
  <c r="C48" i="16"/>
  <c r="A48" i="16"/>
  <c r="A50" i="16"/>
  <c r="C49" i="16"/>
  <c r="C47" i="16"/>
  <c r="A49" i="16"/>
  <c r="A47" i="16"/>
  <c r="C29" i="16"/>
  <c r="C38" i="16" s="1"/>
  <c r="C30" i="16"/>
  <c r="C31" i="16"/>
  <c r="C40" i="16" s="1"/>
  <c r="C32" i="16"/>
  <c r="C33" i="16"/>
  <c r="C34" i="16"/>
  <c r="C35" i="16"/>
  <c r="C36" i="16"/>
  <c r="C37" i="16"/>
  <c r="C28" i="16"/>
  <c r="A39" i="16"/>
  <c r="A40" i="16"/>
  <c r="A38" i="16"/>
  <c r="A34" i="16"/>
  <c r="A35" i="16"/>
  <c r="A36" i="16"/>
  <c r="A37" i="16"/>
  <c r="A33" i="16"/>
  <c r="A29" i="16"/>
  <c r="A30" i="16"/>
  <c r="A31" i="16"/>
  <c r="A32" i="16"/>
  <c r="A28" i="16"/>
  <c r="C13" i="16"/>
  <c r="A23" i="16"/>
  <c r="A43" i="16"/>
  <c r="C43" i="16"/>
  <c r="C23" i="16"/>
  <c r="C15" i="16"/>
  <c r="C16" i="16"/>
  <c r="C17" i="16"/>
  <c r="C14" i="16"/>
  <c r="C9" i="16"/>
  <c r="C18" i="16" s="1"/>
  <c r="C10" i="16"/>
  <c r="C19" i="16" s="1"/>
  <c r="C11" i="16"/>
  <c r="C20" i="16" s="1"/>
  <c r="C12" i="16"/>
  <c r="C8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D87" i="16" l="1"/>
  <c r="C39" i="16"/>
  <c r="C132" i="16" s="1"/>
  <c r="D49" i="7" l="1"/>
  <c r="G31" i="7"/>
  <c r="F31" i="7"/>
  <c r="O31" i="7" s="1"/>
  <c r="G28" i="7"/>
  <c r="F28" i="7"/>
  <c r="O28" i="7" s="1"/>
  <c r="G26" i="7"/>
  <c r="F26" i="7"/>
  <c r="O26" i="7" s="1"/>
  <c r="F43" i="7"/>
  <c r="F44" i="7"/>
  <c r="F45" i="7"/>
  <c r="F46" i="7"/>
  <c r="F47" i="7"/>
  <c r="O47" i="7" s="1"/>
  <c r="F39" i="7"/>
  <c r="F40" i="7"/>
  <c r="F41" i="7"/>
  <c r="F42" i="7"/>
  <c r="F38" i="7"/>
  <c r="F17" i="7"/>
  <c r="F18" i="7"/>
  <c r="F19" i="7"/>
  <c r="F27" i="7"/>
  <c r="F20" i="7"/>
  <c r="F32" i="7"/>
  <c r="F21" i="7"/>
  <c r="F29" i="7"/>
  <c r="F22" i="7"/>
  <c r="F30" i="7"/>
  <c r="F23" i="7"/>
  <c r="F33" i="7"/>
  <c r="F24" i="7"/>
  <c r="F25" i="7"/>
  <c r="F34" i="7"/>
  <c r="O34" i="7" s="1"/>
  <c r="F16" i="7"/>
  <c r="G47" i="7"/>
  <c r="G34" i="7"/>
  <c r="G25" i="7"/>
  <c r="E54" i="7"/>
  <c r="F54" i="7" s="1"/>
  <c r="E55" i="7"/>
  <c r="F55" i="7" s="1"/>
  <c r="E56" i="7"/>
  <c r="F56" i="7" s="1"/>
  <c r="E57" i="7"/>
  <c r="F57" i="7" s="1"/>
  <c r="E63" i="7"/>
  <c r="E64" i="7"/>
  <c r="E65" i="7"/>
  <c r="E66" i="7"/>
  <c r="E67" i="7"/>
  <c r="E68" i="7"/>
  <c r="E70" i="7"/>
  <c r="E71" i="7"/>
  <c r="E72" i="7"/>
  <c r="E73" i="7"/>
  <c r="E74" i="7"/>
  <c r="E75" i="7"/>
  <c r="F75" i="7" s="1"/>
  <c r="F49" i="7" l="1"/>
  <c r="H31" i="7"/>
  <c r="H26" i="7"/>
  <c r="H28" i="7"/>
  <c r="H47" i="7"/>
  <c r="H34" i="7"/>
  <c r="F74" i="7" l="1"/>
  <c r="F73" i="7"/>
  <c r="F72" i="7"/>
  <c r="F71" i="7"/>
  <c r="F70" i="7"/>
  <c r="F69" i="7"/>
  <c r="F68" i="7"/>
  <c r="F67" i="7"/>
  <c r="F66" i="7"/>
  <c r="F65" i="7"/>
  <c r="F64" i="7"/>
  <c r="F63" i="7"/>
  <c r="D10" i="7" l="1"/>
  <c r="D9" i="7"/>
  <c r="D8" i="7"/>
  <c r="D7" i="7"/>
  <c r="D6" i="7"/>
  <c r="D5" i="7"/>
  <c r="D4" i="7"/>
  <c r="D3" i="7"/>
  <c r="F170" i="14"/>
  <c r="F182" i="14" s="1"/>
  <c r="F169" i="14"/>
  <c r="F181" i="14" s="1"/>
  <c r="F168" i="14"/>
  <c r="F180" i="14" s="1"/>
  <c r="F167" i="14"/>
  <c r="F179" i="14" s="1"/>
  <c r="F166" i="14"/>
  <c r="F178" i="14" s="1"/>
  <c r="F165" i="14"/>
  <c r="F177" i="14" s="1"/>
  <c r="F164" i="14"/>
  <c r="F176" i="14" s="1"/>
  <c r="F163" i="14"/>
  <c r="F175" i="14" s="1"/>
  <c r="F162" i="14"/>
  <c r="F174" i="14" s="1"/>
  <c r="H154" i="14"/>
  <c r="I154" i="14" s="1"/>
  <c r="J154" i="14" s="1"/>
  <c r="K154" i="14" s="1"/>
  <c r="L154" i="14" s="1"/>
  <c r="M154" i="14" s="1"/>
  <c r="N154" i="14" s="1"/>
  <c r="O154" i="14" s="1"/>
  <c r="P154" i="14" s="1"/>
  <c r="I153" i="14"/>
  <c r="J153" i="14" s="1"/>
  <c r="K153" i="14" s="1"/>
  <c r="L153" i="14" s="1"/>
  <c r="M153" i="14" s="1"/>
  <c r="N153" i="14" s="1"/>
  <c r="O153" i="14" s="1"/>
  <c r="P153" i="14" s="1"/>
  <c r="Q153" i="14" s="1"/>
  <c r="R153" i="14" s="1"/>
  <c r="H153" i="14"/>
  <c r="R152" i="14"/>
  <c r="K152" i="14"/>
  <c r="L152" i="14" s="1"/>
  <c r="I152" i="14"/>
  <c r="F152" i="14"/>
  <c r="I151" i="14"/>
  <c r="J151" i="14" s="1"/>
  <c r="K151" i="14" s="1"/>
  <c r="L151" i="14" s="1"/>
  <c r="M151" i="14" s="1"/>
  <c r="N151" i="14" s="1"/>
  <c r="O151" i="14" s="1"/>
  <c r="P151" i="14" s="1"/>
  <c r="Q151" i="14" s="1"/>
  <c r="R151" i="14" s="1"/>
  <c r="H151" i="14"/>
  <c r="F151" i="14"/>
  <c r="R150" i="14"/>
  <c r="H150" i="14"/>
  <c r="I150" i="14" s="1"/>
  <c r="J150" i="14" s="1"/>
  <c r="K150" i="14" s="1"/>
  <c r="L150" i="14" s="1"/>
  <c r="M150" i="14" s="1"/>
  <c r="N150" i="14" s="1"/>
  <c r="O150" i="14" s="1"/>
  <c r="P150" i="14" s="1"/>
  <c r="F150" i="14"/>
  <c r="H149" i="14"/>
  <c r="I149" i="14" s="1"/>
  <c r="J149" i="14" s="1"/>
  <c r="K149" i="14" s="1"/>
  <c r="L149" i="14" s="1"/>
  <c r="M149" i="14" s="1"/>
  <c r="N149" i="14" s="1"/>
  <c r="O149" i="14" s="1"/>
  <c r="P149" i="14" s="1"/>
  <c r="F149" i="14"/>
  <c r="H148" i="14"/>
  <c r="I148" i="14" s="1"/>
  <c r="J148" i="14" s="1"/>
  <c r="K148" i="14" s="1"/>
  <c r="L148" i="14" s="1"/>
  <c r="M148" i="14" s="1"/>
  <c r="N148" i="14" s="1"/>
  <c r="O148" i="14" s="1"/>
  <c r="P148" i="14" s="1"/>
  <c r="F148" i="14"/>
  <c r="T132" i="14"/>
  <c r="F119" i="14"/>
  <c r="T104" i="14"/>
  <c r="B104" i="14"/>
  <c r="A104" i="14"/>
  <c r="C101" i="14"/>
  <c r="R93" i="14"/>
  <c r="P93" i="14"/>
  <c r="O93" i="14"/>
  <c r="N93" i="14"/>
  <c r="L93" i="14"/>
  <c r="K93" i="14"/>
  <c r="J93" i="14"/>
  <c r="H93" i="14"/>
  <c r="G93" i="14"/>
  <c r="G87" i="14"/>
  <c r="F87" i="14"/>
  <c r="F121" i="14" s="1"/>
  <c r="H86" i="14"/>
  <c r="H87" i="14" s="1"/>
  <c r="F86" i="14"/>
  <c r="F120" i="14" s="1"/>
  <c r="O85" i="14"/>
  <c r="P85" i="14" s="1"/>
  <c r="Q85" i="14" s="1"/>
  <c r="R85" i="14" s="1"/>
  <c r="N85" i="14"/>
  <c r="H85" i="14"/>
  <c r="I85" i="14" s="1"/>
  <c r="J85" i="14" s="1"/>
  <c r="K85" i="14" s="1"/>
  <c r="L85" i="14" s="1"/>
  <c r="F85" i="14"/>
  <c r="N84" i="14"/>
  <c r="O84" i="14" s="1"/>
  <c r="P84" i="14" s="1"/>
  <c r="Q84" i="14" s="1"/>
  <c r="R84" i="14" s="1"/>
  <c r="I84" i="14"/>
  <c r="J84" i="14" s="1"/>
  <c r="K84" i="14" s="1"/>
  <c r="L84" i="14" s="1"/>
  <c r="H84" i="14"/>
  <c r="F84" i="14"/>
  <c r="F118" i="14" s="1"/>
  <c r="F83" i="14"/>
  <c r="F117" i="14" s="1"/>
  <c r="G82" i="14"/>
  <c r="F82" i="14"/>
  <c r="F116" i="14" s="1"/>
  <c r="F81" i="14"/>
  <c r="F115" i="14" s="1"/>
  <c r="L79" i="14"/>
  <c r="M79" i="14" s="1"/>
  <c r="N79" i="14" s="1"/>
  <c r="O79" i="14" s="1"/>
  <c r="P79" i="14" s="1"/>
  <c r="Q79" i="14" s="1"/>
  <c r="R79" i="14" s="1"/>
  <c r="H79" i="14"/>
  <c r="I79" i="14" s="1"/>
  <c r="J79" i="14" s="1"/>
  <c r="K79" i="14" s="1"/>
  <c r="F79" i="14"/>
  <c r="F112" i="14" s="1"/>
  <c r="F78" i="14"/>
  <c r="F111" i="14" s="1"/>
  <c r="F77" i="14"/>
  <c r="F110" i="14" s="1"/>
  <c r="N76" i="14"/>
  <c r="O76" i="14" s="1"/>
  <c r="P76" i="14" s="1"/>
  <c r="Q76" i="14" s="1"/>
  <c r="R76" i="14" s="1"/>
  <c r="G76" i="14"/>
  <c r="H76" i="14" s="1"/>
  <c r="I76" i="14" s="1"/>
  <c r="J76" i="14" s="1"/>
  <c r="K76" i="14" s="1"/>
  <c r="L76" i="14" s="1"/>
  <c r="M76" i="14" s="1"/>
  <c r="F76" i="14"/>
  <c r="F109" i="14" s="1"/>
  <c r="F75" i="14"/>
  <c r="F108" i="14" s="1"/>
  <c r="F70" i="14"/>
  <c r="F101" i="14" s="1"/>
  <c r="F69" i="14"/>
  <c r="F100" i="14" s="1"/>
  <c r="H68" i="14"/>
  <c r="G68" i="14"/>
  <c r="F68" i="14"/>
  <c r="F99" i="14" s="1"/>
  <c r="I67" i="14"/>
  <c r="H67" i="14"/>
  <c r="H82" i="14" s="1"/>
  <c r="F67" i="14"/>
  <c r="F98" i="14" s="1"/>
  <c r="F66" i="14"/>
  <c r="F97" i="14" s="1"/>
  <c r="F53" i="14"/>
  <c r="F52" i="14"/>
  <c r="F122" i="14" s="1"/>
  <c r="F51" i="14"/>
  <c r="H121" i="14"/>
  <c r="G121" i="14"/>
  <c r="H120" i="14"/>
  <c r="G120" i="14"/>
  <c r="F48" i="14"/>
  <c r="A48" i="14"/>
  <c r="A51" i="14" s="1"/>
  <c r="O119" i="14"/>
  <c r="N119" i="14"/>
  <c r="M119" i="14"/>
  <c r="I119" i="14"/>
  <c r="H119" i="14"/>
  <c r="G119" i="14"/>
  <c r="R59" i="14"/>
  <c r="P118" i="14"/>
  <c r="O118" i="14"/>
  <c r="N118" i="14"/>
  <c r="L118" i="14"/>
  <c r="K118" i="14"/>
  <c r="J118" i="14"/>
  <c r="H118" i="14"/>
  <c r="G118" i="14"/>
  <c r="F45" i="14"/>
  <c r="R53" i="14"/>
  <c r="P53" i="14"/>
  <c r="N53" i="14"/>
  <c r="J53" i="14"/>
  <c r="H116" i="14"/>
  <c r="F39" i="14"/>
  <c r="F113" i="14" s="1"/>
  <c r="F38" i="14"/>
  <c r="A38" i="14"/>
  <c r="M112" i="14"/>
  <c r="K112" i="14"/>
  <c r="H112" i="14"/>
  <c r="G112" i="14"/>
  <c r="F35" i="14"/>
  <c r="Q109" i="14"/>
  <c r="O109" i="14"/>
  <c r="K109" i="14"/>
  <c r="I109" i="14"/>
  <c r="H109" i="14"/>
  <c r="G109" i="14"/>
  <c r="F30" i="14"/>
  <c r="F106" i="14" s="1"/>
  <c r="A30" i="14"/>
  <c r="F25" i="14"/>
  <c r="F102" i="14" s="1"/>
  <c r="R24" i="14"/>
  <c r="G24" i="14" a="1"/>
  <c r="B23" i="14"/>
  <c r="F23" i="14" s="1"/>
  <c r="D21" i="14"/>
  <c r="C21" i="14"/>
  <c r="F20" i="14"/>
  <c r="B20" i="14"/>
  <c r="A20" i="14"/>
  <c r="A21" i="14" s="1"/>
  <c r="A23" i="14" s="1"/>
  <c r="A101" i="14" s="1"/>
  <c r="R15" i="14"/>
  <c r="P15" i="14"/>
  <c r="O15" i="14"/>
  <c r="N15" i="14"/>
  <c r="L15" i="14"/>
  <c r="K15" i="14"/>
  <c r="J15" i="14"/>
  <c r="H15" i="14"/>
  <c r="G4" i="14"/>
  <c r="H3" i="14"/>
  <c r="I3" i="14" s="1"/>
  <c r="R54" i="14" l="1"/>
  <c r="P54" i="14"/>
  <c r="T8" i="14"/>
  <c r="T10" i="14"/>
  <c r="T11" i="14"/>
  <c r="T12" i="14"/>
  <c r="T13" i="14"/>
  <c r="T14" i="14"/>
  <c r="G24" i="14"/>
  <c r="N59" i="14"/>
  <c r="L24" i="14"/>
  <c r="M109" i="14"/>
  <c r="O24" i="14"/>
  <c r="J54" i="14"/>
  <c r="N54" i="14"/>
  <c r="I93" i="14"/>
  <c r="M93" i="14"/>
  <c r="Q93" i="14"/>
  <c r="J59" i="14"/>
  <c r="J3" i="14"/>
  <c r="I4" i="14"/>
  <c r="G15" i="14"/>
  <c r="T33" i="14"/>
  <c r="K119" i="14"/>
  <c r="T47" i="14"/>
  <c r="O53" i="14"/>
  <c r="O54" i="14" s="1"/>
  <c r="H4" i="14"/>
  <c r="T9" i="14"/>
  <c r="H24" i="14"/>
  <c r="N24" i="14"/>
  <c r="I15" i="14"/>
  <c r="M15" i="14"/>
  <c r="Q15" i="14"/>
  <c r="J24" i="14"/>
  <c r="O112" i="14"/>
  <c r="T37" i="14"/>
  <c r="I53" i="14"/>
  <c r="I54" i="14" s="1"/>
  <c r="M53" i="14"/>
  <c r="M54" i="14" s="1"/>
  <c r="Q53" i="14"/>
  <c r="Q54" i="14" s="1"/>
  <c r="H53" i="14"/>
  <c r="H54" i="14" s="1"/>
  <c r="B101" i="14"/>
  <c r="G116" i="14"/>
  <c r="G53" i="14"/>
  <c r="G54" i="14" s="1"/>
  <c r="K53" i="14"/>
  <c r="K54" i="14" s="1"/>
  <c r="T43" i="14"/>
  <c r="H83" i="14"/>
  <c r="H77" i="14"/>
  <c r="Q24" i="14"/>
  <c r="M24" i="14"/>
  <c r="I24" i="14"/>
  <c r="K24" i="14"/>
  <c r="P24" i="14"/>
  <c r="I118" i="14"/>
  <c r="I59" i="14"/>
  <c r="M118" i="14"/>
  <c r="M59" i="14"/>
  <c r="Q118" i="14"/>
  <c r="Q59" i="14"/>
  <c r="L53" i="14"/>
  <c r="L54" i="14" s="1"/>
  <c r="I82" i="14"/>
  <c r="I116" i="14" s="1"/>
  <c r="I68" i="14"/>
  <c r="J67" i="14"/>
  <c r="L109" i="14"/>
  <c r="P109" i="14"/>
  <c r="L112" i="14"/>
  <c r="P112" i="14"/>
  <c r="R118" i="14"/>
  <c r="L119" i="14"/>
  <c r="P119" i="14"/>
  <c r="T49" i="14"/>
  <c r="G59" i="14"/>
  <c r="K59" i="14"/>
  <c r="O59" i="14"/>
  <c r="T34" i="14"/>
  <c r="T36" i="14"/>
  <c r="I112" i="14"/>
  <c r="Q112" i="14"/>
  <c r="T44" i="14"/>
  <c r="T46" i="14"/>
  <c r="Q119" i="14"/>
  <c r="H59" i="14"/>
  <c r="L59" i="14"/>
  <c r="P59" i="14"/>
  <c r="T93" i="14"/>
  <c r="T92" i="14"/>
  <c r="J109" i="14"/>
  <c r="N109" i="14"/>
  <c r="R109" i="14"/>
  <c r="H110" i="14"/>
  <c r="J112" i="14"/>
  <c r="N112" i="14"/>
  <c r="R112" i="14"/>
  <c r="H117" i="14"/>
  <c r="H122" i="14" s="1"/>
  <c r="J119" i="14"/>
  <c r="R119" i="14"/>
  <c r="I120" i="14"/>
  <c r="T50" i="14"/>
  <c r="G83" i="14"/>
  <c r="G117" i="14" s="1"/>
  <c r="G77" i="14"/>
  <c r="G110" i="14" s="1"/>
  <c r="T91" i="14"/>
  <c r="I86" i="14"/>
  <c r="T118" i="14" l="1"/>
  <c r="T119" i="14"/>
  <c r="T109" i="14"/>
  <c r="T112" i="14"/>
  <c r="D127" i="7"/>
  <c r="G105" i="14"/>
  <c r="G177" i="14"/>
  <c r="G180" i="14"/>
  <c r="G98" i="14"/>
  <c r="G28" i="14"/>
  <c r="H171" i="14"/>
  <c r="H182" i="14"/>
  <c r="H181" i="14"/>
  <c r="H176" i="14"/>
  <c r="H180" i="14"/>
  <c r="H179" i="14"/>
  <c r="H175" i="14"/>
  <c r="H178" i="14"/>
  <c r="H177" i="14"/>
  <c r="H105" i="14"/>
  <c r="H40" i="14"/>
  <c r="H26" i="14"/>
  <c r="G26" i="14"/>
  <c r="G157" i="14"/>
  <c r="G174" i="14"/>
  <c r="G145" i="14"/>
  <c r="G175" i="14"/>
  <c r="I87" i="14"/>
  <c r="I121" i="14" s="1"/>
  <c r="J86" i="14"/>
  <c r="J82" i="14"/>
  <c r="J116" i="14" s="1"/>
  <c r="J68" i="14"/>
  <c r="K67" i="14"/>
  <c r="I83" i="14"/>
  <c r="I117" i="14" s="1"/>
  <c r="I77" i="14"/>
  <c r="I110" i="14" s="1"/>
  <c r="T53" i="14"/>
  <c r="G122" i="14"/>
  <c r="G22" i="14"/>
  <c r="G70" i="14" s="1"/>
  <c r="G40" i="14"/>
  <c r="G178" i="14"/>
  <c r="G179" i="14"/>
  <c r="G182" i="14"/>
  <c r="I171" i="14"/>
  <c r="I182" i="14"/>
  <c r="I180" i="14"/>
  <c r="I179" i="14"/>
  <c r="I175" i="14"/>
  <c r="I178" i="14"/>
  <c r="I181" i="14"/>
  <c r="I177" i="14"/>
  <c r="I105" i="14"/>
  <c r="I26" i="14"/>
  <c r="I40" i="14"/>
  <c r="T59" i="14"/>
  <c r="G19" i="14"/>
  <c r="G181" i="14"/>
  <c r="G176" i="14"/>
  <c r="G171" i="14"/>
  <c r="T15" i="14"/>
  <c r="J4" i="14"/>
  <c r="K3" i="14"/>
  <c r="I22" i="14" l="1"/>
  <c r="J181" i="14"/>
  <c r="J180" i="14"/>
  <c r="J178" i="14"/>
  <c r="J177" i="14"/>
  <c r="J105" i="14"/>
  <c r="J179" i="14"/>
  <c r="J175" i="14"/>
  <c r="J40" i="14"/>
  <c r="J26" i="14"/>
  <c r="I19" i="14"/>
  <c r="I99" i="14" s="1"/>
  <c r="I157" i="14"/>
  <c r="I158" i="14" s="1"/>
  <c r="I159" i="14" s="1"/>
  <c r="I174" i="14"/>
  <c r="I145" i="14"/>
  <c r="I122" i="14"/>
  <c r="J83" i="14"/>
  <c r="J117" i="14" s="1"/>
  <c r="J77" i="14"/>
  <c r="J110" i="14" s="1"/>
  <c r="G158" i="14"/>
  <c r="G99" i="14"/>
  <c r="I58" i="14"/>
  <c r="I60" i="14" s="1"/>
  <c r="I176" i="14"/>
  <c r="T54" i="14"/>
  <c r="G56" i="14"/>
  <c r="G58" i="14"/>
  <c r="I98" i="14"/>
  <c r="I28" i="14"/>
  <c r="I72" i="14" s="1"/>
  <c r="K68" i="14"/>
  <c r="L67" i="14"/>
  <c r="K82" i="14"/>
  <c r="K116" i="14" s="1"/>
  <c r="J87" i="14"/>
  <c r="J121" i="14" s="1"/>
  <c r="K86" i="14"/>
  <c r="J120" i="14"/>
  <c r="G183" i="14"/>
  <c r="H19" i="14"/>
  <c r="H99" i="14" s="1"/>
  <c r="H22" i="14"/>
  <c r="H58" i="14" s="1"/>
  <c r="H60" i="14" s="1"/>
  <c r="H70" i="14"/>
  <c r="H174" i="14"/>
  <c r="H183" i="14" s="1"/>
  <c r="H145" i="14"/>
  <c r="H157" i="14"/>
  <c r="H158" i="14" s="1"/>
  <c r="H159" i="14" s="1"/>
  <c r="G72" i="14"/>
  <c r="G29" i="14"/>
  <c r="G73" i="14" s="1"/>
  <c r="K4" i="14"/>
  <c r="L3" i="14"/>
  <c r="I70" i="14"/>
  <c r="H98" i="14"/>
  <c r="H56" i="14"/>
  <c r="H28" i="14"/>
  <c r="H72" i="14" s="1"/>
  <c r="I56" i="14" l="1"/>
  <c r="I183" i="14"/>
  <c r="J122" i="14"/>
  <c r="H29" i="14"/>
  <c r="H73" i="14" s="1"/>
  <c r="H57" i="14"/>
  <c r="H61" i="14"/>
  <c r="H62" i="14" s="1"/>
  <c r="K87" i="14"/>
  <c r="K121" i="14" s="1"/>
  <c r="L86" i="14"/>
  <c r="K120" i="14"/>
  <c r="K83" i="14"/>
  <c r="K117" i="14" s="1"/>
  <c r="K77" i="14"/>
  <c r="K110" i="14" s="1"/>
  <c r="G60" i="14"/>
  <c r="J182" i="14"/>
  <c r="J157" i="14"/>
  <c r="J158" i="14" s="1"/>
  <c r="J159" i="14" s="1"/>
  <c r="J174" i="14"/>
  <c r="J145" i="14"/>
  <c r="J176" i="14"/>
  <c r="K171" i="14"/>
  <c r="K182" i="14"/>
  <c r="K176" i="14"/>
  <c r="K40" i="14"/>
  <c r="K26" i="14"/>
  <c r="K122" i="14"/>
  <c r="I29" i="14"/>
  <c r="I73" i="14" s="1"/>
  <c r="L82" i="14"/>
  <c r="L116" i="14" s="1"/>
  <c r="M67" i="14"/>
  <c r="L68" i="14"/>
  <c r="G61" i="14"/>
  <c r="G57" i="14"/>
  <c r="J19" i="14"/>
  <c r="J22" i="14"/>
  <c r="J58" i="14" s="1"/>
  <c r="J60" i="14" s="1"/>
  <c r="J70" i="14"/>
  <c r="J171" i="14"/>
  <c r="J98" i="14"/>
  <c r="J28" i="14"/>
  <c r="M3" i="14"/>
  <c r="L4" i="14"/>
  <c r="I61" i="14"/>
  <c r="I62" i="14" s="1"/>
  <c r="I57" i="14"/>
  <c r="G159" i="14"/>
  <c r="J183" i="14" l="1"/>
  <c r="K157" i="14"/>
  <c r="K174" i="14"/>
  <c r="K145" i="14"/>
  <c r="K175" i="14"/>
  <c r="K177" i="14"/>
  <c r="K180" i="14"/>
  <c r="K178" i="14"/>
  <c r="K179" i="14"/>
  <c r="J72" i="14"/>
  <c r="J99" i="14"/>
  <c r="K22" i="14"/>
  <c r="K58" i="14" s="1"/>
  <c r="G62" i="14"/>
  <c r="L83" i="14"/>
  <c r="L117" i="14" s="1"/>
  <c r="L77" i="14"/>
  <c r="L110" i="14" s="1"/>
  <c r="L179" i="14"/>
  <c r="L182" i="14"/>
  <c r="L181" i="14"/>
  <c r="L176" i="14"/>
  <c r="L175" i="14"/>
  <c r="L178" i="14"/>
  <c r="L180" i="14"/>
  <c r="L177" i="14"/>
  <c r="L105" i="14"/>
  <c r="M82" i="14"/>
  <c r="M116" i="14" s="1"/>
  <c r="M68" i="14"/>
  <c r="N67" i="14"/>
  <c r="K70" i="14"/>
  <c r="K98" i="14"/>
  <c r="K28" i="14"/>
  <c r="K72" i="14" s="1"/>
  <c r="J29" i="14"/>
  <c r="J73" i="14" s="1"/>
  <c r="N3" i="14"/>
  <c r="M4" i="14"/>
  <c r="J56" i="14"/>
  <c r="K19" i="14"/>
  <c r="K99" i="14" s="1"/>
  <c r="K105" i="14"/>
  <c r="K181" i="14"/>
  <c r="L87" i="14"/>
  <c r="L121" i="14" s="1"/>
  <c r="L122" i="14" s="1"/>
  <c r="M86" i="14"/>
  <c r="L120" i="14"/>
  <c r="K29" i="14" l="1"/>
  <c r="K60" i="14"/>
  <c r="L98" i="14"/>
  <c r="L28" i="14"/>
  <c r="L72" i="14" s="1"/>
  <c r="L19" i="14"/>
  <c r="L99" i="14" s="1"/>
  <c r="K73" i="14"/>
  <c r="M171" i="14"/>
  <c r="M180" i="14"/>
  <c r="M175" i="14"/>
  <c r="M179" i="14"/>
  <c r="M178" i="14"/>
  <c r="M177" i="14"/>
  <c r="M176" i="14"/>
  <c r="M26" i="14"/>
  <c r="M40" i="14"/>
  <c r="K183" i="14"/>
  <c r="M87" i="14"/>
  <c r="M121" i="14" s="1"/>
  <c r="N86" i="14"/>
  <c r="M120" i="14"/>
  <c r="N4" i="14"/>
  <c r="O3" i="14"/>
  <c r="K56" i="14"/>
  <c r="N68" i="14"/>
  <c r="O67" i="14"/>
  <c r="N82" i="14"/>
  <c r="N116" i="14" s="1"/>
  <c r="L29" i="14"/>
  <c r="L171" i="14"/>
  <c r="K158" i="14"/>
  <c r="J61" i="14"/>
  <c r="J57" i="14"/>
  <c r="M77" i="14"/>
  <c r="M110" i="14" s="1"/>
  <c r="M83" i="14"/>
  <c r="M117" i="14" s="1"/>
  <c r="L22" i="14"/>
  <c r="L70" i="14" s="1"/>
  <c r="L26" i="14"/>
  <c r="L40" i="14"/>
  <c r="L174" i="14"/>
  <c r="L145" i="14"/>
  <c r="L157" i="14"/>
  <c r="L158" i="14" s="1"/>
  <c r="L159" i="14" s="1"/>
  <c r="M122" i="14" l="1"/>
  <c r="L58" i="14"/>
  <c r="L60" i="14" s="1"/>
  <c r="L183" i="14"/>
  <c r="J62" i="14"/>
  <c r="O82" i="14"/>
  <c r="O116" i="14" s="1"/>
  <c r="O68" i="14"/>
  <c r="P67" i="14"/>
  <c r="N181" i="14"/>
  <c r="N179" i="14"/>
  <c r="N182" i="14"/>
  <c r="N177" i="14"/>
  <c r="N105" i="14"/>
  <c r="N40" i="14"/>
  <c r="N26" i="14"/>
  <c r="M182" i="14"/>
  <c r="M157" i="14"/>
  <c r="M174" i="14"/>
  <c r="M145" i="14"/>
  <c r="M181" i="14"/>
  <c r="M98" i="14"/>
  <c r="M28" i="14"/>
  <c r="L56" i="14"/>
  <c r="M19" i="14"/>
  <c r="N83" i="14"/>
  <c r="N117" i="14" s="1"/>
  <c r="N77" i="14"/>
  <c r="N110" i="14" s="1"/>
  <c r="K159" i="14"/>
  <c r="L73" i="14"/>
  <c r="K61" i="14"/>
  <c r="K62" i="14" s="1"/>
  <c r="K57" i="14"/>
  <c r="N87" i="14"/>
  <c r="N121" i="14" s="1"/>
  <c r="N122" i="14" s="1"/>
  <c r="O86" i="14"/>
  <c r="N120" i="14"/>
  <c r="P3" i="14"/>
  <c r="O4" i="14"/>
  <c r="M22" i="14"/>
  <c r="M70" i="14" s="1"/>
  <c r="M105" i="14"/>
  <c r="M58" i="14" l="1"/>
  <c r="M60" i="14" s="1"/>
  <c r="N22" i="14"/>
  <c r="O83" i="14"/>
  <c r="O117" i="14" s="1"/>
  <c r="O77" i="14"/>
  <c r="O110" i="14" s="1"/>
  <c r="N98" i="14"/>
  <c r="N28" i="14"/>
  <c r="N72" i="14" s="1"/>
  <c r="N176" i="14"/>
  <c r="N171" i="14"/>
  <c r="Q3" i="14"/>
  <c r="P4" i="14"/>
  <c r="M72" i="14"/>
  <c r="N29" i="14"/>
  <c r="N73" i="14" s="1"/>
  <c r="N175" i="14"/>
  <c r="N180" i="14"/>
  <c r="N157" i="14"/>
  <c r="N158" i="14" s="1"/>
  <c r="N159" i="14" s="1"/>
  <c r="N174" i="14"/>
  <c r="N145" i="14"/>
  <c r="N58" i="14"/>
  <c r="L61" i="14"/>
  <c r="L62" i="14" s="1"/>
  <c r="L57" i="14"/>
  <c r="O87" i="14"/>
  <c r="O121" i="14" s="1"/>
  <c r="P86" i="14"/>
  <c r="O120" i="14"/>
  <c r="M183" i="14"/>
  <c r="O180" i="14"/>
  <c r="O171" i="14"/>
  <c r="O179" i="14"/>
  <c r="O177" i="14"/>
  <c r="O176" i="14"/>
  <c r="O175" i="14"/>
  <c r="O178" i="14"/>
  <c r="O40" i="14"/>
  <c r="O26" i="14"/>
  <c r="M29" i="14"/>
  <c r="M73" i="14" s="1"/>
  <c r="M99" i="14"/>
  <c r="M56" i="14"/>
  <c r="M158" i="14"/>
  <c r="N19" i="14"/>
  <c r="N99" i="14" s="1"/>
  <c r="N70" i="14"/>
  <c r="N178" i="14"/>
  <c r="P82" i="14"/>
  <c r="P116" i="14" s="1"/>
  <c r="P68" i="14"/>
  <c r="Q67" i="14"/>
  <c r="O122" i="14" l="1"/>
  <c r="N60" i="14"/>
  <c r="N183" i="14"/>
  <c r="P179" i="14"/>
  <c r="P171" i="14"/>
  <c r="P182" i="14"/>
  <c r="P181" i="14"/>
  <c r="P176" i="14"/>
  <c r="P180" i="14"/>
  <c r="P175" i="14"/>
  <c r="P178" i="14"/>
  <c r="P40" i="14"/>
  <c r="P26" i="14"/>
  <c r="P105" i="14"/>
  <c r="P177" i="14"/>
  <c r="N56" i="14"/>
  <c r="O181" i="14"/>
  <c r="O157" i="14"/>
  <c r="O174" i="14"/>
  <c r="O145" i="14"/>
  <c r="R3" i="14"/>
  <c r="R4" i="14" s="1"/>
  <c r="Q4" i="14"/>
  <c r="P83" i="14"/>
  <c r="P117" i="14" s="1"/>
  <c r="P77" i="14"/>
  <c r="P110" i="14" s="1"/>
  <c r="M61" i="14"/>
  <c r="M57" i="14"/>
  <c r="O22" i="14"/>
  <c r="O58" i="14" s="1"/>
  <c r="O60" i="14" s="1"/>
  <c r="Q82" i="14"/>
  <c r="Q116" i="14" s="1"/>
  <c r="Q68" i="14"/>
  <c r="R67" i="14"/>
  <c r="M159" i="14"/>
  <c r="O70" i="14"/>
  <c r="O182" i="14"/>
  <c r="O98" i="14"/>
  <c r="O28" i="14"/>
  <c r="O29" i="14" s="1"/>
  <c r="O19" i="14"/>
  <c r="O99" i="14" s="1"/>
  <c r="O105" i="14"/>
  <c r="P87" i="14"/>
  <c r="P121" i="14" s="1"/>
  <c r="Q86" i="14"/>
  <c r="P120" i="14"/>
  <c r="O56" i="14" l="1"/>
  <c r="P122" i="14"/>
  <c r="O183" i="14"/>
  <c r="O73" i="14"/>
  <c r="Q171" i="14"/>
  <c r="Q182" i="14"/>
  <c r="Q181" i="14"/>
  <c r="Q180" i="14"/>
  <c r="Q175" i="14"/>
  <c r="Q178" i="14"/>
  <c r="Q177" i="14"/>
  <c r="Q179" i="14"/>
  <c r="Q176" i="14"/>
  <c r="Q105" i="14"/>
  <c r="Q26" i="14"/>
  <c r="Q40" i="14"/>
  <c r="P22" i="14"/>
  <c r="P98" i="14"/>
  <c r="P28" i="14"/>
  <c r="P72" i="14" s="1"/>
  <c r="Q87" i="14"/>
  <c r="Q121" i="14" s="1"/>
  <c r="R86" i="14"/>
  <c r="Q120" i="14"/>
  <c r="M62" i="14"/>
  <c r="T48" i="14"/>
  <c r="T38" i="14"/>
  <c r="T51" i="14"/>
  <c r="T52" i="14"/>
  <c r="T45" i="14"/>
  <c r="T35" i="14"/>
  <c r="P29" i="14"/>
  <c r="P174" i="14"/>
  <c r="P183" i="14" s="1"/>
  <c r="P145" i="14"/>
  <c r="P157" i="14"/>
  <c r="P158" i="14" s="1"/>
  <c r="P159" i="14" s="1"/>
  <c r="P70" i="14"/>
  <c r="P19" i="14"/>
  <c r="P99" i="14" s="1"/>
  <c r="O61" i="14"/>
  <c r="O62" i="14" s="1"/>
  <c r="O57" i="14"/>
  <c r="R82" i="14"/>
  <c r="R116" i="14" s="1"/>
  <c r="R68" i="14"/>
  <c r="O72" i="14"/>
  <c r="Q83" i="14"/>
  <c r="Q117" i="14" s="1"/>
  <c r="Q122" i="14" s="1"/>
  <c r="Q77" i="14"/>
  <c r="Q110" i="14" s="1"/>
  <c r="O158" i="14"/>
  <c r="N61" i="14"/>
  <c r="N62" i="14" s="1"/>
  <c r="N57" i="14"/>
  <c r="P58" i="14"/>
  <c r="P60" i="14" s="1"/>
  <c r="P73" i="14"/>
  <c r="R98" i="14" l="1"/>
  <c r="R28" i="14"/>
  <c r="T18" i="14"/>
  <c r="R105" i="14"/>
  <c r="T106" i="14"/>
  <c r="R177" i="14"/>
  <c r="T177" i="14" s="1"/>
  <c r="T138" i="14"/>
  <c r="R182" i="14"/>
  <c r="T182" i="14" s="1"/>
  <c r="T144" i="14"/>
  <c r="Q22" i="14"/>
  <c r="T21" i="14"/>
  <c r="T101" i="14"/>
  <c r="R83" i="14"/>
  <c r="R117" i="14" s="1"/>
  <c r="T117" i="14" s="1"/>
  <c r="R77" i="14"/>
  <c r="R110" i="14" s="1"/>
  <c r="O159" i="14"/>
  <c r="T116" i="14"/>
  <c r="R26" i="14"/>
  <c r="T25" i="14"/>
  <c r="T26" i="14" s="1"/>
  <c r="R22" i="14"/>
  <c r="T22" i="14" s="1"/>
  <c r="R175" i="14"/>
  <c r="T175" i="14" s="1"/>
  <c r="T136" i="14"/>
  <c r="R157" i="14"/>
  <c r="R174" i="14"/>
  <c r="R145" i="14"/>
  <c r="T135" i="14"/>
  <c r="R171" i="14"/>
  <c r="T171" i="14" s="1"/>
  <c r="T164" i="14"/>
  <c r="Q58" i="14"/>
  <c r="Q60" i="14" s="1"/>
  <c r="Q19" i="14"/>
  <c r="Q99" i="14" s="1"/>
  <c r="R29" i="14"/>
  <c r="T30" i="14"/>
  <c r="R19" i="14"/>
  <c r="R56" i="14" s="1"/>
  <c r="T20" i="14"/>
  <c r="R40" i="14"/>
  <c r="T39" i="14"/>
  <c r="T40" i="14" s="1"/>
  <c r="R178" i="14"/>
  <c r="T178" i="14" s="1"/>
  <c r="T139" i="14"/>
  <c r="R179" i="14"/>
  <c r="T179" i="14" s="1"/>
  <c r="T140" i="14"/>
  <c r="P56" i="14"/>
  <c r="Q70" i="14"/>
  <c r="R176" i="14"/>
  <c r="T176" i="14" s="1"/>
  <c r="T137" i="14"/>
  <c r="R180" i="14"/>
  <c r="T180" i="14" s="1"/>
  <c r="T141" i="14"/>
  <c r="R181" i="14"/>
  <c r="T181" i="14" s="1"/>
  <c r="T142" i="14"/>
  <c r="R87" i="14"/>
  <c r="R121" i="14" s="1"/>
  <c r="T121" i="14" s="1"/>
  <c r="R120" i="14"/>
  <c r="T120" i="14" s="1"/>
  <c r="Q28" i="14"/>
  <c r="Q72" i="14" s="1"/>
  <c r="Q56" i="14"/>
  <c r="Q98" i="14"/>
  <c r="Q157" i="14"/>
  <c r="Q158" i="14" s="1"/>
  <c r="Q159" i="14" s="1"/>
  <c r="Q145" i="14"/>
  <c r="Q174" i="14"/>
  <c r="Q183" i="14" s="1"/>
  <c r="T145" i="14" l="1"/>
  <c r="T110" i="14"/>
  <c r="R57" i="14"/>
  <c r="T56" i="14"/>
  <c r="T57" i="14" s="1"/>
  <c r="Q29" i="14"/>
  <c r="Q73" i="14" s="1"/>
  <c r="T29" i="14"/>
  <c r="R183" i="14"/>
  <c r="T183" i="14" s="1"/>
  <c r="T174" i="14"/>
  <c r="R122" i="14"/>
  <c r="T122" i="14" s="1"/>
  <c r="R58" i="14"/>
  <c r="R72" i="14"/>
  <c r="T28" i="14"/>
  <c r="Q61" i="14"/>
  <c r="Q62" i="14" s="1"/>
  <c r="Q57" i="14"/>
  <c r="P61" i="14"/>
  <c r="P62" i="14" s="1"/>
  <c r="P57" i="14"/>
  <c r="R99" i="14"/>
  <c r="T99" i="14" s="1"/>
  <c r="T19" i="14"/>
  <c r="R158" i="14"/>
  <c r="R159" i="14" s="1"/>
  <c r="T157" i="14"/>
  <c r="R73" i="14"/>
  <c r="T98" i="14"/>
  <c r="R70" i="14"/>
  <c r="T105" i="14"/>
  <c r="T158" i="14" l="1"/>
  <c r="T159" i="14" s="1"/>
  <c r="R60" i="14"/>
  <c r="T58" i="14"/>
  <c r="T60" i="14" s="1"/>
  <c r="R61" i="14"/>
  <c r="R62" i="14" l="1"/>
  <c r="T61" i="14"/>
  <c r="T62" i="14" s="1"/>
  <c r="G68" i="7" l="1"/>
  <c r="H68" i="7" s="1"/>
  <c r="G64" i="7"/>
  <c r="H64" i="7" s="1"/>
  <c r="G65" i="7"/>
  <c r="H65" i="7" s="1"/>
  <c r="G66" i="7"/>
  <c r="H66" i="7" s="1"/>
  <c r="G67" i="7"/>
  <c r="H67" i="7" s="1"/>
  <c r="G63" i="7"/>
  <c r="H63" i="7" s="1"/>
  <c r="G69" i="7" l="1"/>
  <c r="H69" i="7" s="1"/>
  <c r="G54" i="7" l="1"/>
  <c r="G99" i="7" l="1"/>
  <c r="G98" i="7"/>
  <c r="G97" i="7"/>
  <c r="G96" i="7"/>
  <c r="G95" i="7"/>
  <c r="G115" i="7"/>
  <c r="G114" i="7"/>
  <c r="G113" i="7"/>
  <c r="G112" i="7"/>
  <c r="G111" i="7"/>
  <c r="G110" i="7"/>
  <c r="G109" i="7"/>
  <c r="G102" i="7"/>
  <c r="G101" i="7"/>
  <c r="G100" i="7"/>
  <c r="G76" i="7"/>
  <c r="G78" i="7" s="1"/>
  <c r="H78" i="7" s="1"/>
  <c r="G58" i="7"/>
  <c r="G60" i="7"/>
  <c r="H60" i="7" s="1"/>
  <c r="H75" i="7"/>
  <c r="H74" i="7"/>
  <c r="G55" i="7"/>
  <c r="G73" i="7" s="1"/>
  <c r="H73" i="7" s="1"/>
  <c r="H109" i="7" l="1"/>
  <c r="H113" i="7"/>
  <c r="H114" i="7"/>
  <c r="H95" i="7"/>
  <c r="H98" i="7"/>
  <c r="H115" i="7"/>
  <c r="H111" i="7"/>
  <c r="H112" i="7"/>
  <c r="H100" i="7"/>
  <c r="H110" i="7"/>
  <c r="H102" i="7"/>
  <c r="H101" i="7"/>
  <c r="H97" i="7"/>
  <c r="H103" i="7"/>
  <c r="H99" i="7"/>
  <c r="H96" i="7"/>
  <c r="H58" i="7"/>
  <c r="O32" i="7" l="1"/>
  <c r="O29" i="7"/>
  <c r="O22" i="7"/>
  <c r="O30" i="7"/>
  <c r="O23" i="7"/>
  <c r="O33" i="7"/>
  <c r="O24" i="7"/>
  <c r="O25" i="7"/>
  <c r="O17" i="7"/>
  <c r="O16" i="7"/>
  <c r="O6" i="7"/>
  <c r="G6" i="7"/>
  <c r="D37" i="7"/>
  <c r="F37" i="7"/>
  <c r="G41" i="7"/>
  <c r="G105" i="7" s="1"/>
  <c r="H105" i="7" s="1"/>
  <c r="H25" i="7"/>
  <c r="G24" i="7"/>
  <c r="H24" i="7" s="1"/>
  <c r="G33" i="7"/>
  <c r="H33" i="7" s="1"/>
  <c r="G23" i="7"/>
  <c r="H23" i="7" s="1"/>
  <c r="G30" i="7"/>
  <c r="H30" i="7" s="1"/>
  <c r="G22" i="7"/>
  <c r="H22" i="7" s="1"/>
  <c r="G29" i="7"/>
  <c r="H29" i="7" s="1"/>
  <c r="G21" i="7"/>
  <c r="H21" i="7" s="1"/>
  <c r="G32" i="7"/>
  <c r="H32" i="7" s="1"/>
  <c r="G20" i="7"/>
  <c r="G27" i="7"/>
  <c r="G19" i="7"/>
  <c r="G18" i="7"/>
  <c r="G17" i="7"/>
  <c r="G81" i="7" l="1"/>
  <c r="H81" i="7" s="1"/>
  <c r="G88" i="7"/>
  <c r="H88" i="7" s="1"/>
  <c r="O21" i="7"/>
  <c r="H18" i="7"/>
  <c r="H19" i="7"/>
  <c r="H20" i="7"/>
  <c r="H27" i="7"/>
  <c r="H17" i="7"/>
  <c r="O20" i="7"/>
  <c r="O27" i="7"/>
  <c r="O19" i="7"/>
  <c r="O18" i="7"/>
  <c r="H16" i="7"/>
  <c r="O37" i="7" l="1"/>
  <c r="H37" i="7"/>
  <c r="B54" i="4" l="1"/>
  <c r="G46" i="7" l="1"/>
  <c r="G108" i="7" s="1"/>
  <c r="H108" i="7" s="1"/>
  <c r="G45" i="7"/>
  <c r="G44" i="7"/>
  <c r="G107" i="7" s="1"/>
  <c r="H107" i="7" s="1"/>
  <c r="G43" i="7"/>
  <c r="G106" i="7" s="1"/>
  <c r="H106" i="7" s="1"/>
  <c r="G42" i="7"/>
  <c r="G40" i="7"/>
  <c r="G104" i="7" s="1"/>
  <c r="H104" i="7" s="1"/>
  <c r="G39" i="7"/>
  <c r="G79" i="7" s="1"/>
  <c r="H79" i="7" s="1"/>
  <c r="G38" i="7"/>
  <c r="G77" i="7" s="1"/>
  <c r="H77" i="7" s="1"/>
  <c r="G83" i="7" l="1"/>
  <c r="H83" i="7" s="1"/>
  <c r="G90" i="7"/>
  <c r="H90" i="7" s="1"/>
  <c r="G84" i="7"/>
  <c r="H84" i="7" s="1"/>
  <c r="G91" i="7"/>
  <c r="H91" i="7" s="1"/>
  <c r="G80" i="7"/>
  <c r="H80" i="7" s="1"/>
  <c r="G87" i="7"/>
  <c r="H87" i="7" s="1"/>
  <c r="G85" i="7"/>
  <c r="H85" i="7" s="1"/>
  <c r="G92" i="7"/>
  <c r="H92" i="7" s="1"/>
  <c r="G82" i="7"/>
  <c r="H82" i="7" s="1"/>
  <c r="G89" i="7"/>
  <c r="H89" i="7" s="1"/>
  <c r="G86" i="7"/>
  <c r="H86" i="7" s="1"/>
  <c r="G93" i="7"/>
  <c r="H93" i="7" s="1"/>
  <c r="O46" i="7"/>
  <c r="H46" i="7"/>
  <c r="O45" i="7"/>
  <c r="H45" i="7"/>
  <c r="G10" i="7"/>
  <c r="G72" i="7" s="1"/>
  <c r="H72" i="7" s="1"/>
  <c r="G9" i="7"/>
  <c r="G71" i="7" s="1"/>
  <c r="H71" i="7" s="1"/>
  <c r="G5" i="7"/>
  <c r="G4" i="7"/>
  <c r="G3" i="7"/>
  <c r="D13" i="7" l="1"/>
  <c r="D50" i="7" s="1"/>
  <c r="G8" i="7" l="1"/>
  <c r="G70" i="7" s="1"/>
  <c r="H70" i="7" s="1"/>
  <c r="G7" i="7"/>
  <c r="G2" i="7"/>
  <c r="O10" i="7" l="1"/>
  <c r="O9" i="7"/>
  <c r="O8" i="7"/>
  <c r="O7" i="7"/>
  <c r="O4" i="7"/>
  <c r="O5" i="7"/>
  <c r="O43" i="7"/>
  <c r="O3" i="7" l="1"/>
  <c r="O44" i="7" l="1"/>
  <c r="B51" i="4" l="1"/>
  <c r="D128" i="7" l="1"/>
  <c r="H43" i="7" l="1"/>
  <c r="O2" i="7" l="1"/>
  <c r="O13" i="7" s="1"/>
  <c r="H44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2" i="4" s="1"/>
  <c r="C48" i="4"/>
  <c r="C47" i="4"/>
  <c r="B9" i="4"/>
  <c r="E7" i="7" s="1"/>
  <c r="F7" i="7" s="1"/>
  <c r="B8" i="4"/>
  <c r="B7" i="4"/>
  <c r="H54" i="7" s="1"/>
  <c r="H56" i="7" l="1"/>
  <c r="H76" i="7"/>
  <c r="H55" i="7"/>
  <c r="H57" i="7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2" i="7" s="1"/>
  <c r="F5" i="7"/>
  <c r="H5" i="7" s="1"/>
  <c r="F3" i="7"/>
  <c r="H3" i="7" s="1"/>
  <c r="O39" i="7"/>
  <c r="H39" i="7"/>
  <c r="H42" i="7"/>
  <c r="O42" i="7"/>
  <c r="H40" i="7"/>
  <c r="O40" i="7"/>
  <c r="B53" i="4"/>
  <c r="B55" i="4" s="1"/>
  <c r="H13" i="7" l="1"/>
  <c r="F13" i="7"/>
  <c r="F50" i="7" s="1"/>
  <c r="D129" i="7" s="1"/>
  <c r="H38" i="7"/>
  <c r="O38" i="7"/>
  <c r="H41" i="7"/>
  <c r="O41" i="7"/>
  <c r="H49" i="7" l="1"/>
  <c r="O49" i="7"/>
  <c r="O50" i="7" l="1"/>
  <c r="H50" i="7"/>
  <c r="D130" i="7" s="1"/>
  <c r="I116" i="7" l="1"/>
  <c r="J116" i="7" s="1"/>
  <c r="K116" i="7" s="1"/>
  <c r="L116" i="7" s="1"/>
  <c r="N116" i="7" s="1"/>
  <c r="I117" i="7"/>
  <c r="J117" i="7" s="1"/>
  <c r="K117" i="7" s="1"/>
  <c r="L117" i="7" s="1"/>
  <c r="N117" i="7" s="1"/>
  <c r="I59" i="7"/>
  <c r="J59" i="7" s="1"/>
  <c r="K59" i="7" s="1"/>
  <c r="L59" i="7" s="1"/>
  <c r="I60" i="7"/>
  <c r="J60" i="7" s="1"/>
  <c r="K60" i="7" s="1"/>
  <c r="L60" i="7" s="1"/>
  <c r="N60" i="7" s="1"/>
  <c r="I61" i="7"/>
  <c r="J61" i="7" s="1"/>
  <c r="K61" i="7" s="1"/>
  <c r="L61" i="7" s="1"/>
  <c r="I94" i="7"/>
  <c r="J94" i="7" s="1"/>
  <c r="K94" i="7" s="1"/>
  <c r="L94" i="7" s="1"/>
  <c r="I104" i="7"/>
  <c r="J104" i="7" s="1"/>
  <c r="K104" i="7" s="1"/>
  <c r="L104" i="7" s="1"/>
  <c r="I108" i="7"/>
  <c r="J108" i="7" s="1"/>
  <c r="K108" i="7" s="1"/>
  <c r="L108" i="7" s="1"/>
  <c r="I106" i="7"/>
  <c r="J106" i="7" s="1"/>
  <c r="K106" i="7" s="1"/>
  <c r="L106" i="7" s="1"/>
  <c r="I105" i="7"/>
  <c r="J105" i="7" s="1"/>
  <c r="K105" i="7" s="1"/>
  <c r="L105" i="7" s="1"/>
  <c r="I107" i="7"/>
  <c r="J107" i="7" s="1"/>
  <c r="K107" i="7" s="1"/>
  <c r="L107" i="7" s="1"/>
  <c r="I88" i="7"/>
  <c r="J88" i="7" s="1"/>
  <c r="K88" i="7" s="1"/>
  <c r="L88" i="7" s="1"/>
  <c r="I90" i="7"/>
  <c r="J90" i="7" s="1"/>
  <c r="K90" i="7" s="1"/>
  <c r="L90" i="7" s="1"/>
  <c r="I92" i="7"/>
  <c r="J92" i="7" s="1"/>
  <c r="K92" i="7" s="1"/>
  <c r="L92" i="7" s="1"/>
  <c r="I89" i="7"/>
  <c r="J89" i="7" s="1"/>
  <c r="K89" i="7" s="1"/>
  <c r="L89" i="7" s="1"/>
  <c r="I91" i="7"/>
  <c r="J91" i="7" s="1"/>
  <c r="K91" i="7" s="1"/>
  <c r="L91" i="7" s="1"/>
  <c r="I93" i="7"/>
  <c r="J93" i="7" s="1"/>
  <c r="K93" i="7" s="1"/>
  <c r="L93" i="7" s="1"/>
  <c r="I87" i="7"/>
  <c r="J87" i="7" s="1"/>
  <c r="K87" i="7" s="1"/>
  <c r="L87" i="7" s="1"/>
  <c r="I31" i="7"/>
  <c r="J31" i="7" s="1"/>
  <c r="K31" i="7" s="1"/>
  <c r="L31" i="7" s="1"/>
  <c r="I79" i="7"/>
  <c r="J79" i="7" s="1"/>
  <c r="K79" i="7" s="1"/>
  <c r="L79" i="7" s="1"/>
  <c r="I82" i="7"/>
  <c r="J82" i="7" s="1"/>
  <c r="K82" i="7" s="1"/>
  <c r="L82" i="7" s="1"/>
  <c r="I78" i="7"/>
  <c r="J78" i="7" s="1"/>
  <c r="K78" i="7" s="1"/>
  <c r="L78" i="7" s="1"/>
  <c r="I81" i="7"/>
  <c r="J81" i="7" s="1"/>
  <c r="K81" i="7" s="1"/>
  <c r="L81" i="7" s="1"/>
  <c r="I77" i="7"/>
  <c r="J77" i="7" s="1"/>
  <c r="K77" i="7" s="1"/>
  <c r="L77" i="7" s="1"/>
  <c r="I85" i="7"/>
  <c r="J85" i="7" s="1"/>
  <c r="K85" i="7" s="1"/>
  <c r="L85" i="7" s="1"/>
  <c r="I83" i="7"/>
  <c r="J83" i="7" s="1"/>
  <c r="K83" i="7" s="1"/>
  <c r="L83" i="7" s="1"/>
  <c r="I86" i="7"/>
  <c r="J86" i="7" s="1"/>
  <c r="K86" i="7" s="1"/>
  <c r="L86" i="7" s="1"/>
  <c r="I84" i="7"/>
  <c r="J84" i="7" s="1"/>
  <c r="K84" i="7" s="1"/>
  <c r="L84" i="7" s="1"/>
  <c r="I80" i="7"/>
  <c r="J80" i="7" s="1"/>
  <c r="K80" i="7" s="1"/>
  <c r="L80" i="7" s="1"/>
  <c r="I26" i="7"/>
  <c r="J26" i="7" s="1"/>
  <c r="K26" i="7" s="1"/>
  <c r="L26" i="7" s="1"/>
  <c r="I28" i="7"/>
  <c r="J28" i="7" s="1"/>
  <c r="K28" i="7" s="1"/>
  <c r="L28" i="7" s="1"/>
  <c r="I34" i="7"/>
  <c r="J34" i="7" s="1"/>
  <c r="K34" i="7" s="1"/>
  <c r="L34" i="7" s="1"/>
  <c r="I47" i="7"/>
  <c r="J47" i="7" s="1"/>
  <c r="K47" i="7" s="1"/>
  <c r="I54" i="7"/>
  <c r="J54" i="7" s="1"/>
  <c r="K54" i="7" s="1"/>
  <c r="I67" i="7"/>
  <c r="J67" i="7" s="1"/>
  <c r="K67" i="7" s="1"/>
  <c r="I71" i="7"/>
  <c r="J71" i="7" s="1"/>
  <c r="K71" i="7" s="1"/>
  <c r="I74" i="7"/>
  <c r="J74" i="7" s="1"/>
  <c r="K74" i="7" s="1"/>
  <c r="L74" i="7" s="1"/>
  <c r="D39" i="16" s="1"/>
  <c r="E39" i="16" s="1"/>
  <c r="I64" i="7"/>
  <c r="J64" i="7" s="1"/>
  <c r="K64" i="7" s="1"/>
  <c r="I68" i="7"/>
  <c r="J68" i="7" s="1"/>
  <c r="K68" i="7" s="1"/>
  <c r="I72" i="7"/>
  <c r="J72" i="7" s="1"/>
  <c r="K72" i="7" s="1"/>
  <c r="I65" i="7"/>
  <c r="J65" i="7" s="1"/>
  <c r="K65" i="7" s="1"/>
  <c r="I69" i="7"/>
  <c r="J69" i="7" s="1"/>
  <c r="K69" i="7" s="1"/>
  <c r="L69" i="7" s="1"/>
  <c r="D34" i="16" s="1"/>
  <c r="E34" i="16" s="1"/>
  <c r="I73" i="7"/>
  <c r="J73" i="7" s="1"/>
  <c r="K73" i="7" s="1"/>
  <c r="I75" i="7"/>
  <c r="J75" i="7" s="1"/>
  <c r="K75" i="7" s="1"/>
  <c r="L75" i="7" s="1"/>
  <c r="D40" i="16" s="1"/>
  <c r="E40" i="16" s="1"/>
  <c r="I66" i="7"/>
  <c r="J66" i="7" s="1"/>
  <c r="K66" i="7" s="1"/>
  <c r="I70" i="7"/>
  <c r="J70" i="7" s="1"/>
  <c r="K70" i="7" s="1"/>
  <c r="I63" i="7"/>
  <c r="J63" i="7" s="1"/>
  <c r="K63" i="7" s="1"/>
  <c r="I109" i="7"/>
  <c r="J109" i="7" s="1"/>
  <c r="K109" i="7" s="1"/>
  <c r="I112" i="7"/>
  <c r="J112" i="7" s="1"/>
  <c r="K112" i="7" s="1"/>
  <c r="I98" i="7"/>
  <c r="J98" i="7" s="1"/>
  <c r="K98" i="7" s="1"/>
  <c r="I114" i="7"/>
  <c r="J114" i="7" s="1"/>
  <c r="K114" i="7" s="1"/>
  <c r="I115" i="7"/>
  <c r="J115" i="7" s="1"/>
  <c r="K115" i="7" s="1"/>
  <c r="I111" i="7"/>
  <c r="J111" i="7" s="1"/>
  <c r="K111" i="7" s="1"/>
  <c r="I113" i="7"/>
  <c r="J113" i="7" s="1"/>
  <c r="K113" i="7" s="1"/>
  <c r="I99" i="7"/>
  <c r="J99" i="7" s="1"/>
  <c r="K99" i="7" s="1"/>
  <c r="I97" i="7"/>
  <c r="J97" i="7" s="1"/>
  <c r="K97" i="7" s="1"/>
  <c r="I102" i="7"/>
  <c r="J102" i="7" s="1"/>
  <c r="K102" i="7" s="1"/>
  <c r="I110" i="7"/>
  <c r="J110" i="7" s="1"/>
  <c r="K110" i="7" s="1"/>
  <c r="I103" i="7"/>
  <c r="J103" i="7" s="1"/>
  <c r="K103" i="7" s="1"/>
  <c r="I101" i="7"/>
  <c r="J101" i="7" s="1"/>
  <c r="K101" i="7" s="1"/>
  <c r="I100" i="7"/>
  <c r="J100" i="7" s="1"/>
  <c r="K100" i="7" s="1"/>
  <c r="I58" i="7"/>
  <c r="J58" i="7" s="1"/>
  <c r="K58" i="7" s="1"/>
  <c r="L58" i="7" s="1"/>
  <c r="I57" i="7"/>
  <c r="J57" i="7" s="1"/>
  <c r="K57" i="7" s="1"/>
  <c r="L57" i="7" s="1"/>
  <c r="I56" i="7"/>
  <c r="J56" i="7" s="1"/>
  <c r="K56" i="7" s="1"/>
  <c r="L56" i="7" s="1"/>
  <c r="I55" i="7"/>
  <c r="J55" i="7" s="1"/>
  <c r="K55" i="7" s="1"/>
  <c r="I96" i="7"/>
  <c r="J96" i="7" s="1"/>
  <c r="K96" i="7" s="1"/>
  <c r="I95" i="7"/>
  <c r="J95" i="7" s="1"/>
  <c r="K95" i="7" s="1"/>
  <c r="I76" i="7"/>
  <c r="J76" i="7" s="1"/>
  <c r="K76" i="7" s="1"/>
  <c r="I6" i="7"/>
  <c r="J6" i="7" s="1"/>
  <c r="K6" i="7" s="1"/>
  <c r="I29" i="7"/>
  <c r="J29" i="7" s="1"/>
  <c r="K29" i="7" s="1"/>
  <c r="I30" i="7"/>
  <c r="J30" i="7" s="1"/>
  <c r="K30" i="7" s="1"/>
  <c r="I33" i="7"/>
  <c r="J33" i="7" s="1"/>
  <c r="K33" i="7" s="1"/>
  <c r="I25" i="7"/>
  <c r="J25" i="7" s="1"/>
  <c r="K25" i="7" s="1"/>
  <c r="I21" i="7"/>
  <c r="J21" i="7" s="1"/>
  <c r="K21" i="7" s="1"/>
  <c r="I32" i="7"/>
  <c r="J32" i="7" s="1"/>
  <c r="K32" i="7" s="1"/>
  <c r="I22" i="7"/>
  <c r="J22" i="7" s="1"/>
  <c r="K22" i="7" s="1"/>
  <c r="I23" i="7"/>
  <c r="J23" i="7" s="1"/>
  <c r="K23" i="7" s="1"/>
  <c r="I24" i="7"/>
  <c r="J24" i="7" s="1"/>
  <c r="K24" i="7" s="1"/>
  <c r="I20" i="7"/>
  <c r="J20" i="7" s="1"/>
  <c r="K20" i="7" s="1"/>
  <c r="I18" i="7"/>
  <c r="J18" i="7" s="1"/>
  <c r="K18" i="7" s="1"/>
  <c r="I16" i="7"/>
  <c r="I19" i="7"/>
  <c r="J19" i="7" s="1"/>
  <c r="K19" i="7" s="1"/>
  <c r="I17" i="7"/>
  <c r="J17" i="7" s="1"/>
  <c r="K17" i="7" s="1"/>
  <c r="I27" i="7"/>
  <c r="J27" i="7" s="1"/>
  <c r="K27" i="7" s="1"/>
  <c r="I8" i="7"/>
  <c r="J8" i="7" s="1"/>
  <c r="K8" i="7" s="1"/>
  <c r="I4" i="7"/>
  <c r="J4" i="7" s="1"/>
  <c r="K4" i="7" s="1"/>
  <c r="L4" i="7" s="1"/>
  <c r="D10" i="16" s="1"/>
  <c r="E10" i="16" s="1"/>
  <c r="I43" i="7"/>
  <c r="J43" i="7" s="1"/>
  <c r="K43" i="7" s="1"/>
  <c r="I41" i="7"/>
  <c r="J41" i="7" s="1"/>
  <c r="K41" i="7" s="1"/>
  <c r="I5" i="7"/>
  <c r="J5" i="7" s="1"/>
  <c r="K5" i="7" s="1"/>
  <c r="I38" i="7"/>
  <c r="I42" i="7"/>
  <c r="J42" i="7" s="1"/>
  <c r="K42" i="7" s="1"/>
  <c r="I45" i="7"/>
  <c r="J45" i="7" s="1"/>
  <c r="K45" i="7" s="1"/>
  <c r="I7" i="7"/>
  <c r="J7" i="7" s="1"/>
  <c r="K7" i="7" s="1"/>
  <c r="I46" i="7"/>
  <c r="J46" i="7" s="1"/>
  <c r="K46" i="7" s="1"/>
  <c r="I2" i="7"/>
  <c r="I39" i="7"/>
  <c r="J39" i="7" s="1"/>
  <c r="K39" i="7" s="1"/>
  <c r="L39" i="7" s="1"/>
  <c r="D49" i="16" s="1"/>
  <c r="E49" i="16" s="1"/>
  <c r="I9" i="7"/>
  <c r="J9" i="7" s="1"/>
  <c r="K9" i="7" s="1"/>
  <c r="I44" i="7"/>
  <c r="J44" i="7" s="1"/>
  <c r="K44" i="7" s="1"/>
  <c r="I3" i="7"/>
  <c r="J3" i="7" s="1"/>
  <c r="K3" i="7" s="1"/>
  <c r="I10" i="7"/>
  <c r="J10" i="7" s="1"/>
  <c r="K10" i="7" s="1"/>
  <c r="L10" i="7" s="1"/>
  <c r="I40" i="7"/>
  <c r="J40" i="7" s="1"/>
  <c r="K40" i="7" s="1"/>
  <c r="D44" i="16" l="1"/>
  <c r="N61" i="7"/>
  <c r="D24" i="16"/>
  <c r="N59" i="7"/>
  <c r="N93" i="7"/>
  <c r="D73" i="16"/>
  <c r="E73" i="16" s="1"/>
  <c r="N90" i="7"/>
  <c r="D70" i="16"/>
  <c r="E70" i="16" s="1"/>
  <c r="D113" i="16"/>
  <c r="E113" i="16" s="1"/>
  <c r="N106" i="7"/>
  <c r="N34" i="7"/>
  <c r="P34" i="7" s="1"/>
  <c r="Q34" i="7" s="1"/>
  <c r="D119" i="16"/>
  <c r="E119" i="16" s="1"/>
  <c r="N91" i="7"/>
  <c r="D71" i="16"/>
  <c r="E71" i="16" s="1"/>
  <c r="N88" i="7"/>
  <c r="D68" i="16"/>
  <c r="E68" i="16" s="1"/>
  <c r="N108" i="7"/>
  <c r="D116" i="16"/>
  <c r="E116" i="16" s="1"/>
  <c r="N28" i="7"/>
  <c r="R28" i="7" s="1"/>
  <c r="S28" i="7" s="1"/>
  <c r="T28" i="7" s="1"/>
  <c r="D105" i="16"/>
  <c r="E105" i="16" s="1"/>
  <c r="N31" i="7"/>
  <c r="P31" i="7" s="1"/>
  <c r="Q31" i="7" s="1"/>
  <c r="D108" i="16"/>
  <c r="E108" i="16" s="1"/>
  <c r="N89" i="7"/>
  <c r="D69" i="16"/>
  <c r="E69" i="16" s="1"/>
  <c r="D114" i="16"/>
  <c r="E114" i="16" s="1"/>
  <c r="N107" i="7"/>
  <c r="N104" i="7"/>
  <c r="D110" i="16"/>
  <c r="E110" i="16" s="1"/>
  <c r="N26" i="7"/>
  <c r="P26" i="7" s="1"/>
  <c r="Q26" i="7" s="1"/>
  <c r="D103" i="16"/>
  <c r="E103" i="16" s="1"/>
  <c r="N87" i="7"/>
  <c r="D67" i="16"/>
  <c r="E67" i="16" s="1"/>
  <c r="N92" i="7"/>
  <c r="D72" i="16"/>
  <c r="E72" i="16" s="1"/>
  <c r="N105" i="7"/>
  <c r="D111" i="16"/>
  <c r="E111" i="16" s="1"/>
  <c r="N94" i="7"/>
  <c r="D75" i="16"/>
  <c r="E75" i="16" s="1"/>
  <c r="N86" i="7"/>
  <c r="D66" i="16"/>
  <c r="E66" i="16" s="1"/>
  <c r="N81" i="7"/>
  <c r="D61" i="16"/>
  <c r="E61" i="16" s="1"/>
  <c r="N83" i="7"/>
  <c r="D63" i="16"/>
  <c r="E63" i="16" s="1"/>
  <c r="N78" i="7"/>
  <c r="D58" i="16"/>
  <c r="E58" i="16" s="1"/>
  <c r="N80" i="7"/>
  <c r="D60" i="16"/>
  <c r="E60" i="16" s="1"/>
  <c r="N85" i="7"/>
  <c r="D65" i="16"/>
  <c r="E65" i="16" s="1"/>
  <c r="N82" i="7"/>
  <c r="D62" i="16"/>
  <c r="E62" i="16" s="1"/>
  <c r="N84" i="7"/>
  <c r="D64" i="16"/>
  <c r="E64" i="16" s="1"/>
  <c r="N77" i="7"/>
  <c r="D57" i="16"/>
  <c r="E57" i="16" s="1"/>
  <c r="N79" i="7"/>
  <c r="D59" i="16"/>
  <c r="E59" i="16" s="1"/>
  <c r="N57" i="7"/>
  <c r="D20" i="16"/>
  <c r="E20" i="16" s="1"/>
  <c r="L47" i="7"/>
  <c r="N56" i="7"/>
  <c r="D19" i="16"/>
  <c r="E19" i="16" s="1"/>
  <c r="I49" i="7"/>
  <c r="J38" i="7"/>
  <c r="K38" i="7" s="1"/>
  <c r="L38" i="7" s="1"/>
  <c r="D47" i="16" s="1"/>
  <c r="E47" i="16" s="1"/>
  <c r="L3" i="7"/>
  <c r="L5" i="7"/>
  <c r="L8" i="7"/>
  <c r="L19" i="7"/>
  <c r="L23" i="7"/>
  <c r="L25" i="7"/>
  <c r="L102" i="7"/>
  <c r="L111" i="7"/>
  <c r="L112" i="7"/>
  <c r="L66" i="7"/>
  <c r="L65" i="7"/>
  <c r="L45" i="7"/>
  <c r="L41" i="7"/>
  <c r="L27" i="7"/>
  <c r="L22" i="7"/>
  <c r="L33" i="7"/>
  <c r="L6" i="7"/>
  <c r="L95" i="7"/>
  <c r="L101" i="7"/>
  <c r="L97" i="7"/>
  <c r="L115" i="7"/>
  <c r="L109" i="7"/>
  <c r="L72" i="7"/>
  <c r="L71" i="7"/>
  <c r="L40" i="7"/>
  <c r="L44" i="7"/>
  <c r="L7" i="7"/>
  <c r="L42" i="7"/>
  <c r="L43" i="7"/>
  <c r="L18" i="7"/>
  <c r="L32" i="7"/>
  <c r="L30" i="7"/>
  <c r="L96" i="7"/>
  <c r="L103" i="7"/>
  <c r="L99" i="7"/>
  <c r="L114" i="7"/>
  <c r="L63" i="7"/>
  <c r="L73" i="7"/>
  <c r="L68" i="7"/>
  <c r="L67" i="7"/>
  <c r="L9" i="7"/>
  <c r="L46" i="7"/>
  <c r="L17" i="7"/>
  <c r="L20" i="7"/>
  <c r="L24" i="7"/>
  <c r="L21" i="7"/>
  <c r="L29" i="7"/>
  <c r="L76" i="7"/>
  <c r="L55" i="7"/>
  <c r="L100" i="7"/>
  <c r="L110" i="7"/>
  <c r="L113" i="7"/>
  <c r="L98" i="7"/>
  <c r="L70" i="7"/>
  <c r="L64" i="7"/>
  <c r="L54" i="7"/>
  <c r="J2" i="7"/>
  <c r="K2" i="7" s="1"/>
  <c r="J16" i="7"/>
  <c r="K16" i="7" s="1"/>
  <c r="I37" i="7"/>
  <c r="N4" i="7"/>
  <c r="I13" i="7"/>
  <c r="N39" i="7"/>
  <c r="P39" i="7" s="1"/>
  <c r="Q39" i="7" s="1"/>
  <c r="P28" i="7" l="1"/>
  <c r="Q28" i="7" s="1"/>
  <c r="R26" i="7"/>
  <c r="S26" i="7" s="1"/>
  <c r="T26" i="7" s="1"/>
  <c r="R31" i="7"/>
  <c r="S31" i="7" s="1"/>
  <c r="T31" i="7" s="1"/>
  <c r="R34" i="7"/>
  <c r="S34" i="7" s="1"/>
  <c r="T34" i="7" s="1"/>
  <c r="N29" i="7"/>
  <c r="P29" i="7" s="1"/>
  <c r="Q29" i="7" s="1"/>
  <c r="D106" i="16"/>
  <c r="E106" i="16" s="1"/>
  <c r="N115" i="7"/>
  <c r="D130" i="16"/>
  <c r="E130" i="16" s="1"/>
  <c r="N25" i="7"/>
  <c r="R25" i="7" s="1"/>
  <c r="S25" i="7" s="1"/>
  <c r="T25" i="7" s="1"/>
  <c r="D99" i="16"/>
  <c r="E99" i="16" s="1"/>
  <c r="N110" i="7"/>
  <c r="D124" i="16"/>
  <c r="E124" i="16" s="1"/>
  <c r="N17" i="7"/>
  <c r="P17" i="7" s="1"/>
  <c r="Q17" i="7" s="1"/>
  <c r="D91" i="16"/>
  <c r="E91" i="16" s="1"/>
  <c r="N100" i="7"/>
  <c r="D100" i="16"/>
  <c r="E100" i="16" s="1"/>
  <c r="N21" i="7"/>
  <c r="R21" i="7" s="1"/>
  <c r="S21" i="7" s="1"/>
  <c r="T21" i="7" s="1"/>
  <c r="D95" i="16"/>
  <c r="E95" i="16" s="1"/>
  <c r="N30" i="7"/>
  <c r="P30" i="7" s="1"/>
  <c r="Q30" i="7" s="1"/>
  <c r="D107" i="16"/>
  <c r="E107" i="16" s="1"/>
  <c r="N33" i="7"/>
  <c r="R33" i="7" s="1"/>
  <c r="S33" i="7" s="1"/>
  <c r="T33" i="7" s="1"/>
  <c r="D115" i="16"/>
  <c r="E115" i="16" s="1"/>
  <c r="N112" i="7"/>
  <c r="D126" i="16"/>
  <c r="E126" i="16" s="1"/>
  <c r="N23" i="7"/>
  <c r="R23" i="7" s="1"/>
  <c r="S23" i="7" s="1"/>
  <c r="T23" i="7" s="1"/>
  <c r="D97" i="16"/>
  <c r="E97" i="16" s="1"/>
  <c r="N32" i="7"/>
  <c r="R32" i="7" s="1"/>
  <c r="S32" i="7" s="1"/>
  <c r="T32" i="7" s="1"/>
  <c r="D112" i="16"/>
  <c r="E112" i="16" s="1"/>
  <c r="N101" i="7"/>
  <c r="D101" i="16"/>
  <c r="E101" i="16" s="1"/>
  <c r="N22" i="7"/>
  <c r="R22" i="7" s="1"/>
  <c r="S22" i="7" s="1"/>
  <c r="T22" i="7" s="1"/>
  <c r="D96" i="16"/>
  <c r="E96" i="16" s="1"/>
  <c r="N111" i="7"/>
  <c r="D125" i="16"/>
  <c r="E125" i="16" s="1"/>
  <c r="N19" i="7"/>
  <c r="R19" i="7" s="1"/>
  <c r="S19" i="7" s="1"/>
  <c r="T19" i="7" s="1"/>
  <c r="D93" i="16"/>
  <c r="E93" i="16" s="1"/>
  <c r="N24" i="7"/>
  <c r="R24" i="7" s="1"/>
  <c r="S24" i="7" s="1"/>
  <c r="T24" i="7" s="1"/>
  <c r="D98" i="16"/>
  <c r="E98" i="16" s="1"/>
  <c r="N113" i="7"/>
  <c r="D128" i="16"/>
  <c r="E128" i="16" s="1"/>
  <c r="N20" i="7"/>
  <c r="R20" i="7" s="1"/>
  <c r="S20" i="7" s="1"/>
  <c r="T20" i="7" s="1"/>
  <c r="D94" i="16"/>
  <c r="E94" i="16" s="1"/>
  <c r="N114" i="7"/>
  <c r="D129" i="16"/>
  <c r="E129" i="16" s="1"/>
  <c r="N18" i="7"/>
  <c r="R18" i="7" s="1"/>
  <c r="S18" i="7" s="1"/>
  <c r="T18" i="7" s="1"/>
  <c r="D92" i="16"/>
  <c r="E92" i="16" s="1"/>
  <c r="N109" i="7"/>
  <c r="D120" i="16"/>
  <c r="E120" i="16" s="1"/>
  <c r="N27" i="7"/>
  <c r="R27" i="7" s="1"/>
  <c r="S27" i="7" s="1"/>
  <c r="T27" i="7" s="1"/>
  <c r="D104" i="16"/>
  <c r="E104" i="16" s="1"/>
  <c r="N102" i="7"/>
  <c r="D102" i="16"/>
  <c r="E102" i="16" s="1"/>
  <c r="N103" i="7"/>
  <c r="D109" i="16"/>
  <c r="E109" i="16" s="1"/>
  <c r="N98" i="7"/>
  <c r="D83" i="16"/>
  <c r="E83" i="16" s="1"/>
  <c r="N47" i="7"/>
  <c r="P47" i="7" s="1"/>
  <c r="Q47" i="7" s="1"/>
  <c r="D78" i="16"/>
  <c r="E78" i="16" s="1"/>
  <c r="N96" i="7"/>
  <c r="D80" i="16"/>
  <c r="E80" i="16" s="1"/>
  <c r="N95" i="7"/>
  <c r="D79" i="16"/>
  <c r="E79" i="16" s="1"/>
  <c r="N99" i="7"/>
  <c r="D84" i="16"/>
  <c r="E84" i="16" s="1"/>
  <c r="N97" i="7"/>
  <c r="D82" i="16"/>
  <c r="E82" i="16" s="1"/>
  <c r="N42" i="7"/>
  <c r="R42" i="7" s="1"/>
  <c r="S42" i="7" s="1"/>
  <c r="T42" i="7" s="1"/>
  <c r="D52" i="16"/>
  <c r="E52" i="16" s="1"/>
  <c r="N44" i="7"/>
  <c r="R44" i="7" s="1"/>
  <c r="S44" i="7" s="1"/>
  <c r="T44" i="7" s="1"/>
  <c r="D54" i="16"/>
  <c r="E54" i="16" s="1"/>
  <c r="N46" i="7"/>
  <c r="R46" i="7" s="1"/>
  <c r="S46" i="7" s="1"/>
  <c r="T46" i="7" s="1"/>
  <c r="D56" i="16"/>
  <c r="E56" i="16" s="1"/>
  <c r="N45" i="7"/>
  <c r="R45" i="7" s="1"/>
  <c r="S45" i="7" s="1"/>
  <c r="T45" i="7" s="1"/>
  <c r="D55" i="16"/>
  <c r="E55" i="16" s="1"/>
  <c r="N43" i="7"/>
  <c r="R43" i="7" s="1"/>
  <c r="S43" i="7" s="1"/>
  <c r="T43" i="7" s="1"/>
  <c r="D53" i="16"/>
  <c r="E53" i="16" s="1"/>
  <c r="N40" i="7"/>
  <c r="R40" i="7" s="1"/>
  <c r="S40" i="7" s="1"/>
  <c r="T40" i="7" s="1"/>
  <c r="D50" i="16"/>
  <c r="E50" i="16" s="1"/>
  <c r="N41" i="7"/>
  <c r="P41" i="7" s="1"/>
  <c r="Q41" i="7" s="1"/>
  <c r="D51" i="16"/>
  <c r="E51" i="16" s="1"/>
  <c r="N38" i="7"/>
  <c r="R38" i="7" s="1"/>
  <c r="S38" i="7" s="1"/>
  <c r="N64" i="7"/>
  <c r="D29" i="16"/>
  <c r="E29" i="16" s="1"/>
  <c r="E44" i="16"/>
  <c r="D43" i="16"/>
  <c r="E43" i="16" s="1"/>
  <c r="N70" i="7"/>
  <c r="D35" i="16"/>
  <c r="E35" i="16" s="1"/>
  <c r="N73" i="7"/>
  <c r="D38" i="16"/>
  <c r="E38" i="16" s="1"/>
  <c r="N71" i="7"/>
  <c r="D36" i="16"/>
  <c r="E36" i="16" s="1"/>
  <c r="N3" i="7"/>
  <c r="P3" i="7" s="1"/>
  <c r="Q3" i="7" s="1"/>
  <c r="D9" i="16"/>
  <c r="E9" i="16" s="1"/>
  <c r="N68" i="7"/>
  <c r="D33" i="16"/>
  <c r="E33" i="16" s="1"/>
  <c r="N6" i="7"/>
  <c r="R6" i="7" s="1"/>
  <c r="S6" i="7" s="1"/>
  <c r="T6" i="7" s="1"/>
  <c r="D12" i="16"/>
  <c r="E12" i="16" s="1"/>
  <c r="N66" i="7"/>
  <c r="N75" i="7" s="1"/>
  <c r="D31" i="16"/>
  <c r="E31" i="16" s="1"/>
  <c r="N5" i="7"/>
  <c r="R5" i="7" s="1"/>
  <c r="S5" i="7" s="1"/>
  <c r="T5" i="7" s="1"/>
  <c r="D11" i="16"/>
  <c r="E11" i="16" s="1"/>
  <c r="N55" i="7"/>
  <c r="D18" i="16"/>
  <c r="E18" i="16" s="1"/>
  <c r="N9" i="7"/>
  <c r="P9" i="7" s="1"/>
  <c r="Q9" i="7" s="1"/>
  <c r="D16" i="16"/>
  <c r="E16" i="16" s="1"/>
  <c r="N63" i="7"/>
  <c r="D28" i="16"/>
  <c r="E28" i="16" s="1"/>
  <c r="N58" i="7"/>
  <c r="E24" i="16"/>
  <c r="D23" i="16"/>
  <c r="E23" i="16" s="1"/>
  <c r="N7" i="7"/>
  <c r="P7" i="7" s="1"/>
  <c r="Q7" i="7" s="1"/>
  <c r="D14" i="16"/>
  <c r="E14" i="16" s="1"/>
  <c r="N72" i="7"/>
  <c r="D37" i="16"/>
  <c r="E37" i="16" s="1"/>
  <c r="N10" i="7"/>
  <c r="R10" i="7" s="1"/>
  <c r="S10" i="7" s="1"/>
  <c r="T10" i="7" s="1"/>
  <c r="D17" i="16"/>
  <c r="E17" i="16" s="1"/>
  <c r="N54" i="7"/>
  <c r="D13" i="16"/>
  <c r="E13" i="16" s="1"/>
  <c r="N76" i="7"/>
  <c r="D48" i="16"/>
  <c r="E48" i="16" s="1"/>
  <c r="N67" i="7"/>
  <c r="D32" i="16"/>
  <c r="E32" i="16" s="1"/>
  <c r="N65" i="7"/>
  <c r="N74" i="7" s="1"/>
  <c r="D30" i="16"/>
  <c r="E30" i="16" s="1"/>
  <c r="N8" i="7"/>
  <c r="P8" i="7" s="1"/>
  <c r="Q8" i="7" s="1"/>
  <c r="D15" i="16"/>
  <c r="E15" i="16" s="1"/>
  <c r="P23" i="7"/>
  <c r="Q23" i="7" s="1"/>
  <c r="L16" i="7"/>
  <c r="L2" i="7"/>
  <c r="P4" i="7"/>
  <c r="Q4" i="7" s="1"/>
  <c r="R4" i="7"/>
  <c r="S4" i="7" s="1"/>
  <c r="T4" i="7" s="1"/>
  <c r="I50" i="7"/>
  <c r="R39" i="7"/>
  <c r="S39" i="7" s="1"/>
  <c r="T39" i="7" s="1"/>
  <c r="P18" i="7" l="1"/>
  <c r="Q18" i="7" s="1"/>
  <c r="R17" i="7"/>
  <c r="S17" i="7" s="1"/>
  <c r="T17" i="7" s="1"/>
  <c r="P24" i="7"/>
  <c r="Q24" i="7" s="1"/>
  <c r="R47" i="7"/>
  <c r="S47" i="7" s="1"/>
  <c r="T47" i="7" s="1"/>
  <c r="R29" i="7"/>
  <c r="S29" i="7" s="1"/>
  <c r="T29" i="7" s="1"/>
  <c r="P25" i="7"/>
  <c r="Q25" i="7" s="1"/>
  <c r="P21" i="7"/>
  <c r="Q21" i="7" s="1"/>
  <c r="P33" i="7"/>
  <c r="Q33" i="7" s="1"/>
  <c r="P20" i="7"/>
  <c r="Q20" i="7" s="1"/>
  <c r="P27" i="7"/>
  <c r="Q27" i="7" s="1"/>
  <c r="P43" i="7"/>
  <c r="Q43" i="7" s="1"/>
  <c r="P46" i="7"/>
  <c r="Q46" i="7" s="1"/>
  <c r="P19" i="7"/>
  <c r="Q19" i="7" s="1"/>
  <c r="P22" i="7"/>
  <c r="Q22" i="7" s="1"/>
  <c r="P32" i="7"/>
  <c r="Q32" i="7" s="1"/>
  <c r="R41" i="7"/>
  <c r="S41" i="7" s="1"/>
  <c r="T41" i="7" s="1"/>
  <c r="R30" i="7"/>
  <c r="S30" i="7" s="1"/>
  <c r="T30" i="7" s="1"/>
  <c r="P42" i="7"/>
  <c r="Q42" i="7" s="1"/>
  <c r="N16" i="7"/>
  <c r="R16" i="7" s="1"/>
  <c r="S16" i="7" s="1"/>
  <c r="T16" i="7" s="1"/>
  <c r="D90" i="16"/>
  <c r="E90" i="16" s="1"/>
  <c r="P45" i="7"/>
  <c r="Q45" i="7" s="1"/>
  <c r="P44" i="7"/>
  <c r="Q44" i="7" s="1"/>
  <c r="P40" i="7"/>
  <c r="Q40" i="7" s="1"/>
  <c r="P38" i="7"/>
  <c r="Q38" i="7" s="1"/>
  <c r="P10" i="7"/>
  <c r="Q10" i="7" s="1"/>
  <c r="N69" i="7"/>
  <c r="R7" i="7"/>
  <c r="S7" i="7" s="1"/>
  <c r="T7" i="7" s="1"/>
  <c r="P5" i="7"/>
  <c r="Q5" i="7" s="1"/>
  <c r="P6" i="7"/>
  <c r="Q6" i="7" s="1"/>
  <c r="R8" i="7"/>
  <c r="S8" i="7" s="1"/>
  <c r="T8" i="7" s="1"/>
  <c r="R3" i="7"/>
  <c r="S3" i="7" s="1"/>
  <c r="T3" i="7" s="1"/>
  <c r="R9" i="7"/>
  <c r="S9" i="7" s="1"/>
  <c r="T9" i="7" s="1"/>
  <c r="N2" i="7"/>
  <c r="P2" i="7" s="1"/>
  <c r="Q2" i="7" s="1"/>
  <c r="D8" i="16"/>
  <c r="P16" i="7"/>
  <c r="Q16" i="7" s="1"/>
  <c r="T38" i="7"/>
  <c r="Q37" i="7" l="1"/>
  <c r="S37" i="7"/>
  <c r="T37" i="7"/>
  <c r="E8" i="16"/>
  <c r="E132" i="16" s="1"/>
  <c r="D132" i="16"/>
  <c r="T49" i="7"/>
  <c r="S49" i="7"/>
  <c r="P49" i="7"/>
  <c r="Q49" i="7"/>
  <c r="R2" i="7"/>
  <c r="S2" i="7" s="1"/>
  <c r="T2" i="7" s="1"/>
  <c r="T13" i="7" s="1"/>
  <c r="P37" i="7"/>
  <c r="P13" i="7"/>
  <c r="T50" i="7" l="1"/>
  <c r="T51" i="7" s="1"/>
  <c r="S13" i="7"/>
  <c r="S50" i="7" s="1"/>
  <c r="P50" i="7"/>
  <c r="B60" i="4" l="1"/>
  <c r="B61" i="4" s="1"/>
  <c r="Q13" i="7"/>
  <c r="Q50" i="7" s="1"/>
  <c r="Q102" i="14"/>
  <c r="L102" i="14"/>
  <c r="N100" i="14"/>
  <c r="I100" i="14"/>
  <c r="I102" i="14"/>
  <c r="M102" i="14"/>
  <c r="H100" i="14"/>
  <c r="O100" i="14"/>
  <c r="O102" i="14"/>
  <c r="P100" i="14"/>
  <c r="P102" i="14" s="1"/>
  <c r="K100" i="14"/>
  <c r="Q100" i="14"/>
  <c r="R100" i="14"/>
  <c r="R102" i="14" s="1"/>
  <c r="M100" i="14"/>
  <c r="G100" i="14"/>
  <c r="G102" i="14" s="1"/>
  <c r="G78" i="14"/>
  <c r="H78" i="14" s="1"/>
  <c r="L100" i="14"/>
  <c r="J100" i="14"/>
  <c r="J102" i="14" s="1"/>
  <c r="H124" i="14" l="1"/>
  <c r="H111" i="14"/>
  <c r="H113" i="14" s="1"/>
  <c r="I78" i="14"/>
  <c r="T100" i="14"/>
  <c r="H102" i="14"/>
  <c r="H126" i="14" s="1"/>
  <c r="H127" i="14" s="1"/>
  <c r="K102" i="14"/>
  <c r="G111" i="14"/>
  <c r="N102" i="14"/>
  <c r="I111" i="14" l="1"/>
  <c r="J78" i="14"/>
  <c r="G113" i="14"/>
  <c r="G124" i="14"/>
  <c r="T102" i="14"/>
  <c r="G126" i="14" l="1"/>
  <c r="G127" i="14" s="1"/>
  <c r="K78" i="14"/>
  <c r="J111" i="14"/>
  <c r="I113" i="14"/>
  <c r="I126" i="14" s="1"/>
  <c r="I127" i="14" s="1"/>
  <c r="I124" i="14"/>
  <c r="K111" i="14" l="1"/>
  <c r="L78" i="14"/>
  <c r="J113" i="14"/>
  <c r="J126" i="14" s="1"/>
  <c r="J127" i="14" s="1"/>
  <c r="J124" i="14"/>
  <c r="M78" i="14" l="1"/>
  <c r="L111" i="14"/>
  <c r="K113" i="14"/>
  <c r="K126" i="14" s="1"/>
  <c r="K127" i="14" s="1"/>
  <c r="K124" i="14"/>
  <c r="L113" i="14" l="1"/>
  <c r="L124" i="14"/>
  <c r="M111" i="14"/>
  <c r="N78" i="14"/>
  <c r="M113" i="14" l="1"/>
  <c r="M126" i="14" s="1"/>
  <c r="M127" i="14" s="1"/>
  <c r="M124" i="14"/>
  <c r="O78" i="14"/>
  <c r="N111" i="14"/>
  <c r="L126" i="14"/>
  <c r="L127" i="14" s="1"/>
  <c r="O111" i="14" l="1"/>
  <c r="P78" i="14"/>
  <c r="N113" i="14"/>
  <c r="N124" i="14"/>
  <c r="P111" i="14" l="1"/>
  <c r="Q78" i="14"/>
  <c r="O124" i="14"/>
  <c r="O113" i="14"/>
  <c r="O126" i="14" s="1"/>
  <c r="O127" i="14" s="1"/>
  <c r="N126" i="14"/>
  <c r="N127" i="14" s="1"/>
  <c r="R78" i="14" l="1"/>
  <c r="R111" i="14" s="1"/>
  <c r="Q111" i="14"/>
  <c r="P113" i="14"/>
  <c r="P126" i="14" s="1"/>
  <c r="P127" i="14" s="1"/>
  <c r="P124" i="14"/>
  <c r="Q113" i="14" l="1"/>
  <c r="Q126" i="14" s="1"/>
  <c r="Q127" i="14" s="1"/>
  <c r="Q124" i="14"/>
  <c r="R113" i="14"/>
  <c r="R124" i="14"/>
  <c r="T111" i="14"/>
  <c r="T124" i="14" l="1"/>
  <c r="R126" i="14"/>
  <c r="R127" i="14" s="1"/>
  <c r="T113" i="14"/>
  <c r="T126" i="14" s="1"/>
  <c r="T12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tc={D55687F6-8C12-4078-A3AB-7B25D0F95EBF}</author>
    <author>tc={E0060300-F8F2-4EE8-94D5-91237AE0F14E}</author>
    <author>tc={137BAC6D-34CF-4FBB-B7BF-3994955FEFD1}</author>
    <author>tc={3ED426A8-66B3-4655-8B7D-D346F31A91FC}</author>
    <author>tc={7AD42632-31EE-49FC-A092-B82E6D2589BB}</author>
    <author>tc={FBCB2975-1924-4C91-870B-790063F1156C}</author>
    <author>tc={A2279E9A-51E8-4BFC-BCF6-AF86A29CD40A}</author>
    <author>tc={AF783913-F397-48BA-B1CB-C9A9B6832FD6}</author>
    <author>tc={E8CEBB8C-8794-4764-B1FE-BFD4A6A12E5A}</author>
    <author>tc={A353F6F2-EF78-435E-B3EE-037A7468EC20}</author>
    <author>tc={68660CCC-BFEC-4629-BE3D-73FA592D46EE}</author>
    <author>tc={5EB9D7E5-A58A-4B1F-B335-8932FA3ABF97}</author>
    <author>tc={817A4667-E740-4A59-AA45-DAF24F878072}</author>
    <author>tc={B229694D-D3D1-4F74-892F-95FABD5BC4E4}</author>
    <author>tc={DF522C2D-78C0-4433-B3A2-31D13E16EA49}</author>
    <author>tc={AD35CF51-74E7-4F92-A619-8AEB4C395536}</author>
    <author>tc={E6841089-F282-4C7F-B296-DB4DB394C24B}</author>
    <author>tc={CED6F05C-E2AF-46D6-9EE9-73F94E3B02FF}</author>
    <author>tc={9502152D-C0D8-42CF-84BA-BA066BB3B46D}</author>
    <author>tc={312DB7CE-0962-4946-B010-DCD8A496119A}</author>
    <author>tc={3E42BE3E-A955-4939-B93A-D95AE7B753FB}</author>
    <author>tc={20DB8570-A323-4E9F-84D9-7C9765049CC8}</author>
    <author>tc={C472807A-7611-4C71-9CC6-E12DAA9DCE68}</author>
    <author>tc={466451BF-CACB-44FE-8032-F50AC2C8BB76}</author>
    <author>tc={5376A181-F051-47CE-AF67-696BB4BE096D}</author>
    <author>tc={B7E79A72-C978-4551-9A82-EA487A8834B6}</author>
    <author>tc={C7439001-09F9-4691-905A-27311150491E}</author>
    <author>tc={244A912F-1888-4575-9AFC-4888D27A3420}</author>
    <author>tc={518134B9-42F4-4336-913B-26D714E416D4}</author>
    <author>tc={731043C1-80CA-4AA3-9150-C3B5D81825D9}</author>
    <author>tc={0F6A9280-9D27-4B82-B150-0BBAA44C629B}</author>
    <author>tc={7D9734F8-C758-4F98-9C82-FB7DBDF62033}</author>
    <author>tc={7E692CF9-0DB2-4DFD-AE72-307B09636B4D}</author>
    <author>tc={3B72450F-8948-47B1-96DF-DE2B07546295}</author>
    <author>tc={BBBCDEC5-DBD6-4E95-A516-CF6F8598812B}</author>
    <author>tc={83903963-9C3F-489A-BC7E-6978180AE56C}</author>
    <author>tc={9B57766E-1581-485C-B385-DE1039FED0B4}</author>
    <author>tc={78F0FAEC-F780-4DA1-AC63-11EA5296BF44}</author>
    <author>tc={213FC2D7-CEED-4A4D-9281-CE276393B845}</author>
    <author>tc={96C9B4AC-408D-4288-8113-A3A1D33E8FB6}</author>
    <author>tc={ECAFB8CC-0358-45BA-B86B-16828AD95862}</author>
    <author>tc={02B6CF11-C2EC-43DF-991C-429DBD685318}</author>
  </authors>
  <commentList>
    <comment ref="M4" authorId="0" shapeId="0" xr:uid="{D55687F6-8C12-4078-A3AB-7B25D0F95EB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listed as $24.47. Current Tariff on file has $24.48.</t>
      </text>
    </comment>
    <comment ref="M6" authorId="1" shapeId="0" xr:uid="{E0060300-F8F2-4EE8-94D5-91237AE0F14E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$47.95. Current Tariff shows $48.00</t>
      </text>
    </comment>
    <comment ref="M9" authorId="2" shapeId="0" xr:uid="{137BAC6D-34CF-4FBB-B7BF-3994955FEFD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$24.28. Current Tariff shows $24.48.</t>
      </text>
    </comment>
    <comment ref="M10" authorId="3" shapeId="0" xr:uid="{3ED426A8-66B3-4655-8B7D-D346F31A91FC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$35.43. Current Tariff shows $35.87.</t>
      </text>
    </comment>
    <comment ref="G20" authorId="4" shapeId="0" xr:uid="{7AD42632-31EE-49FC-A092-B82E6D2589B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Staff accepts this calculation for 1.25-Yard weight. Calculation divides the increase in weight from 1-Yard to 1.5-Yard weights by 2, then adds to 1-Yard Meeks weight.</t>
      </text>
    </comment>
    <comment ref="M21" authorId="5" shapeId="0" xr:uid="{FBCB2975-1924-4C91-870B-790063F1156C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$36.23. Current Tariff shows $36.22.</t>
      </text>
    </comment>
    <comment ref="M22" authorId="6" shapeId="0" xr:uid="{A2279E9A-51E8-4BFC-BCF6-AF86A29CD40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$53.22. Current Tariff shows $53.21.</t>
      </text>
    </comment>
    <comment ref="M23" authorId="7" shapeId="0" xr:uid="{AF783913-F397-48BA-B1CB-C9A9B6832FD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$68.23. Current Tariff shows $68.21.</t>
      </text>
    </comment>
    <comment ref="M24" authorId="8" shapeId="0" xr:uid="{E8CEBB8C-8794-4764-B1FE-BFD4A6A12E5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$101.44. Tariff shows $101.42</t>
      </text>
    </comment>
    <comment ref="M25" authorId="9" shapeId="0" xr:uid="{A353F6F2-EF78-435E-B3EE-037A7468EC2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$131.21. Current tariff shows $131.19.</t>
      </text>
    </comment>
    <comment ref="M28" authorId="10" shapeId="0" xr:uid="{68660CCC-BFEC-4629-BE3D-73FA592D46EE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$40.60. Current tariff shows $40.59.</t>
      </text>
    </comment>
    <comment ref="M29" authorId="11" shapeId="0" xr:uid="{5EB9D7E5-A58A-4B1F-B335-8932FA3ABF97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$56.93. Current tariff shows $56.92.</t>
      </text>
    </comment>
    <comment ref="M30" authorId="12" shapeId="0" xr:uid="{817A4667-E740-4A59-AA45-DAF24F878072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$74.46. Current tariff shows $74.44.</t>
      </text>
    </comment>
    <comment ref="M31" authorId="13" shapeId="0" xr:uid="{B229694D-D3D1-4F74-892F-95FABD5BC4E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$110.17. Current tariff shows $110.15.</t>
      </text>
    </comment>
    <comment ref="M32" authorId="14" shapeId="0" xr:uid="{DF522C2D-78C0-4433-B3A2-31D13E16EA4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$39.83. Current tariff shows $39.82.</t>
      </text>
    </comment>
    <comment ref="M33" authorId="15" shapeId="0" xr:uid="{AD35CF51-74E7-4F92-A619-8AEB4C39553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$106.67. Current tariff shows $106.65.</t>
      </text>
    </comment>
    <comment ref="L34" authorId="16" shapeId="0" xr:uid="{E6841089-F282-4C7F-B296-DB4DB394C24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formula divided total weight increase ($21.33) by annual pickups (156)then multiplied by annual frequency (12). This formula calculates annual rate increase, not per pickup. Revised to calculate per pickup as required for tariff.</t>
      </text>
    </comment>
    <comment ref="M34" authorId="17" shapeId="0" xr:uid="{CED6F05C-E2AF-46D6-9EE9-73F94E3B02F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$5.21. Current tariff shows rate as $3.86.</t>
      </text>
    </comment>
    <comment ref="M42" authorId="18" shapeId="0" xr:uid="{9502152D-C0D8-42CF-84BA-BA066BB3B46D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$47.62. Current tariff shows rate as $47.63.</t>
      </text>
    </comment>
    <comment ref="M43" authorId="19" shapeId="0" xr:uid="{312DB7CE-0962-4946-B010-DCD8A496119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$70.38. Current tariff shows rate as $70.39.</t>
      </text>
    </comment>
    <comment ref="M44" authorId="20" shapeId="0" xr:uid="{3E42BE3E-A955-4939-B93A-D95AE7B753FB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$91.10. Current tariff shows rate as $91.12.</t>
      </text>
    </comment>
    <comment ref="M45" authorId="21" shapeId="0" xr:uid="{20DB8570-A323-4E9F-84D9-7C9765049CC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$135.85. Current tariff shows as $135.87.</t>
      </text>
    </comment>
    <comment ref="M46" authorId="22" shapeId="0" xr:uid="{C472807A-7611-4C71-9CC6-E12DAA9DCE6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$177.11. Current tariff shows rate as $177.13.</t>
      </text>
    </comment>
    <comment ref="M54" authorId="23" shapeId="0" xr:uid="{466451BF-CACB-44FE-8032-F50AC2C8BB7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$60.43. Current tariff shows $60.44.</t>
      </text>
    </comment>
    <comment ref="G56" authorId="24" shapeId="0" xr:uid="{5376A181-F051-47CE-AF67-696BB4BE096D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the 2-32-Gallon weight. After email to the company, the company agrees to use the Super 60-Gallon weight standardly used with 64-Gallon services.</t>
      </text>
    </comment>
    <comment ref="M56" authorId="25" shapeId="0" xr:uid="{B7E79A72-C978-4551-9A82-EA487A8834B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$24.47. Current tariff shows rate as $24.48.</t>
      </text>
    </comment>
    <comment ref="G57" authorId="26" shapeId="0" xr:uid="{C7439001-09F9-4691-905A-27311150491E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the 3-32-Gallon weight. After email to the company, the company agrees to use the 90-Gallon weight standardly used with 96-Gallon services.</t>
      </text>
    </comment>
    <comment ref="G74" authorId="27" shapeId="0" xr:uid="{244A912F-1888-4575-9AFC-4888D27A342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the 2-32-Gallon weight. After email to the company, the company agrees to use the Super 60-Gallon weight standardly used with 64-Gallon services.</t>
      </text>
    </comment>
    <comment ref="M74" authorId="28" shapeId="0" xr:uid="{518134B9-42F4-4336-913B-26D714E416D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$24.47. Current tariff shows rate as $24.48.</t>
      </text>
    </comment>
    <comment ref="G75" authorId="29" shapeId="0" xr:uid="{731043C1-80CA-4AA3-9150-C3B5D81825D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the 3-32-Gallon weight. After email to the company, the company agrees to use the 90-Gallon weight standardly used with 96-Gallon services.</t>
      </text>
    </comment>
    <comment ref="M82" authorId="30" shapeId="0" xr:uid="{0F6A9280-9D27-4B82-B150-0BBAA44C629B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$48.67. Current tariff shows as $48.68.</t>
      </text>
    </comment>
    <comment ref="M83" authorId="31" shapeId="0" xr:uid="{7D9734F8-C758-4F98-9C82-FB7DBDF62033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$69.29. Current tariff shows as $69.30.</t>
      </text>
    </comment>
    <comment ref="M103" authorId="32" shapeId="0" xr:uid="{7E692CF9-0DB2-4DFD-AE72-307B09636B4D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$133.45. Current tariff shows rate as $132.84.</t>
      </text>
    </comment>
    <comment ref="M106" authorId="33" shapeId="0" xr:uid="{3B72450F-8948-47B1-96DF-DE2B07546295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$54.84. Current tariff shows as $54.83.</t>
      </text>
    </comment>
    <comment ref="M107" authorId="34" shapeId="0" xr:uid="{BBBCDEC5-DBD6-4E95-A516-CF6F8598812B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$71.77. Current tariff shows as $71.75.</t>
      </text>
    </comment>
    <comment ref="M108" authorId="35" shapeId="0" xr:uid="{83903963-9C3F-489A-BC7E-6978180AE56C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$129.72. Current tariff shows as $129.70.</t>
      </text>
    </comment>
    <comment ref="M110" authorId="36" shapeId="0" xr:uid="{9B57766E-1581-485C-B385-DE1039FED0B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$180.18. Current tariff shows as $180.15.</t>
      </text>
    </comment>
    <comment ref="M111" authorId="37" shapeId="0" xr:uid="{78F0FAEC-F780-4DA1-AC63-11EA5296BF4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$307.62. Current tariff shows as $307.58.</t>
      </text>
    </comment>
    <comment ref="M112" authorId="38" shapeId="0" xr:uid="{213FC2D7-CEED-4A4D-9281-CE276393B845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$395.61. Current tariff shows as $395.56.</t>
      </text>
    </comment>
    <comment ref="M113" authorId="39" shapeId="0" xr:uid="{96C9B4AC-408D-4288-8113-A3A1D33E8FB6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$183.10. Current tariff shows as $183.07.</t>
      </text>
    </comment>
    <comment ref="M114" authorId="40" shapeId="0" xr:uid="{ECAFB8CC-0358-45BA-B86B-16828AD95862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$310.23. Current tariff shows as $310.19.</t>
      </text>
    </comment>
    <comment ref="M115" authorId="41" shapeId="0" xr:uid="{02B6CF11-C2EC-43DF-991C-429DBD68531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$398.01. Current tariff shows as $397.96.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Vander Zalm, Connor</author>
  </authors>
  <commentList>
    <comment ref="F18" authorId="0" shapeId="0" xr:uid="{3405428C-16FA-428A-B537-BA57B1C11E89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A141" authorId="1" shapeId="0" xr:uid="{8019192D-4439-4F95-B79E-5B1079205D4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1" authorId="1" shapeId="0" xr:uid="{0C36B1F7-C425-4E7D-9AF7-D50C237E01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1" authorId="1" shapeId="0" xr:uid="{CC41DCB4-13EB-4224-91B2-7801FE73C91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<sst xmlns="http://schemas.openxmlformats.org/spreadsheetml/2006/main" count="572" uniqueCount="293">
  <si>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</si>
  <si>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</si>
  <si>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</si>
  <si>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</si>
  <si>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</si>
  <si>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</si>
  <si>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</si>
  <si>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</si>
  <si>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</si>
  <si>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</si>
  <si>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</si>
  <si>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</si>
  <si>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</si>
  <si>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</si>
  <si>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</si>
  <si>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</si>
  <si>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</si>
  <si>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</si>
  <si>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</si>
  <si>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</si>
  <si>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</si>
  <si>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</si>
  <si>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</si>
  <si>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</si>
  <si>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</si>
  <si>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</si>
  <si>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</si>
  <si>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</si>
  <si>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</si>
  <si>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</si>
  <si>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</si>
  <si>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</si>
  <si>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</si>
  <si>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</si>
  <si>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</si>
  <si>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</si>
  <si>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</si>
  <si>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</si>
  <si>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</si>
  <si>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</si>
  <si>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</si>
  <si>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</si>
  <si>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</si>
  <si>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</si>
  <si>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</si>
  <si>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</si>
  <si>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</si>
  <si>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</si>
  <si>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</si>
  <si>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</si>
  <si>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</si>
  <si>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</si>
  <si>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</si>
  <si>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</si>
  <si>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</si>
  <si>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</si>
  <si>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</si>
  <si>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</si>
  <si>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</si>
  <si>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</si>
  <si>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</si>
  <si>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</si>
  <si>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</si>
  <si>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</si>
  <si>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</si>
  <si>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</si>
  <si>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</si>
  <si>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</si>
  <si>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</si>
  <si>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</si>
  <si>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</si>
  <si>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</si>
  <si>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</si>
  <si>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</si>
  <si>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</si>
  <si>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</si>
  <si>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</si>
  <si>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</si>
  <si>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</si>
  <si>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</si>
  <si>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</si>
  <si>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</si>
  <si>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</si>
  <si>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</si>
  <si>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</si>
  <si>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</si>
  <si>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</si>
  <si>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</si>
  <si>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</si>
  <si>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</si>
  <si>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</si>
  <si>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</si>
  <si>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</si>
  <si>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</si>
  <si>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</si>
  <si>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</si>
  <si>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Not on Meeks</t>
  </si>
  <si>
    <t>35 gallon Can</t>
  </si>
  <si>
    <t>1 Can Monthly</t>
  </si>
  <si>
    <t>* not on meeks - calculated by staff in previous cases</t>
  </si>
  <si>
    <t>1 Can wk</t>
  </si>
  <si>
    <t>2  Can wk</t>
  </si>
  <si>
    <t>3 Can wk</t>
  </si>
  <si>
    <t>4 Can wk</t>
  </si>
  <si>
    <t>32 Gal Tote wk</t>
  </si>
  <si>
    <t>60 Gal Tote wk</t>
  </si>
  <si>
    <t>Multi-Family</t>
  </si>
  <si>
    <t>King County</t>
  </si>
  <si>
    <t>Item 240, pg 40</t>
  </si>
  <si>
    <t>Item 105, pg 27</t>
  </si>
  <si>
    <t>TOTAL</t>
  </si>
  <si>
    <t>Rate</t>
  </si>
  <si>
    <t>5 Can wk</t>
  </si>
  <si>
    <t>64 Gal Bear Proof Toter</t>
  </si>
  <si>
    <t>96 Gal Bear Proof Toter</t>
  </si>
  <si>
    <t>32 Gal Bear Proof Toter</t>
  </si>
  <si>
    <t>Item 100, pg 22</t>
  </si>
  <si>
    <t>32 Gal extra</t>
  </si>
  <si>
    <t>Item 100, pg 21 Appendix A</t>
  </si>
  <si>
    <t>Item 100, pg 23 Appendix B</t>
  </si>
  <si>
    <t>Item 100, pg 24</t>
  </si>
  <si>
    <t>3 yd Special Pickup</t>
  </si>
  <si>
    <t>4 yd Special Pickup</t>
  </si>
  <si>
    <t>6 yd Special Pickup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</si>
  <si>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</si>
  <si>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</si>
  <si>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</si>
  <si>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</si>
  <si>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</si>
  <si>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</si>
  <si>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96 Gal Tote wk</t>
  </si>
  <si>
    <t>*Note Appendix B customers consolidated to Appendix A for disposal model ease</t>
  </si>
  <si>
    <t>64 Gal Tote wk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</si>
  <si>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</si>
  <si>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</si>
  <si>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</si>
  <si>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</si>
  <si>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</si>
  <si>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</si>
  <si>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</si>
  <si>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</si>
  <si>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</si>
  <si>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</si>
  <si>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</si>
  <si>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</si>
  <si>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</si>
  <si>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</si>
  <si>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</si>
  <si>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</si>
  <si>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</si>
  <si>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</si>
  <si>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</si>
  <si>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</si>
  <si>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</si>
  <si>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</si>
  <si>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</si>
  <si>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</si>
  <si>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</si>
  <si>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</si>
  <si>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</si>
  <si>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</si>
  <si>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</si>
  <si>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</si>
  <si>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</si>
  <si>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</si>
  <si>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</si>
  <si>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Lbs/Yd</t>
  </si>
  <si>
    <t>R</t>
  </si>
  <si>
    <t>U</t>
  </si>
  <si>
    <t>C</t>
  </si>
  <si>
    <t>Lbs/DB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</si>
  <si>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</si>
  <si>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</si>
  <si>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</si>
  <si>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</si>
  <si>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</si>
  <si>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</si>
  <si>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</si>
  <si>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</si>
  <si>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</si>
  <si>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</si>
  <si>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</si>
  <si>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</si>
  <si>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</si>
  <si>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</si>
  <si>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</si>
  <si>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</si>
  <si>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</si>
  <si>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</si>
  <si>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</si>
  <si>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</si>
  <si>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* below you will need to link I/C affiliatied company disposal $ to the correct row (I sugguest you use CTRL+H - 'Find &amp; Replace')</t>
  </si>
  <si>
    <t>I/C Disposal Cost per GL</t>
  </si>
  <si>
    <t>Disp Code 1</t>
  </si>
  <si>
    <t>Disp Code 2</t>
  </si>
  <si>
    <t>Disp Code 3</t>
  </si>
  <si>
    <t>Disp Code 4</t>
  </si>
  <si>
    <t>Disp Code 5</t>
  </si>
  <si>
    <t>Total Tons</t>
  </si>
  <si>
    <t>RRCM</t>
  </si>
  <si>
    <t>Rabanco MRF - Mixed Comm</t>
  </si>
  <si>
    <t>RRMX</t>
  </si>
  <si>
    <t>RRCB</t>
  </si>
  <si>
    <t>RRFL</t>
  </si>
  <si>
    <t>RRMF</t>
  </si>
  <si>
    <t>RRRC</t>
  </si>
  <si>
    <t>Rabanco MRF - Commercial</t>
  </si>
  <si>
    <t>Rabanco MRF - Resi / MF</t>
  </si>
  <si>
    <t>RRGA</t>
  </si>
  <si>
    <t>3rd &amp; Lander - MSW</t>
  </si>
  <si>
    <t>RRWD</t>
  </si>
  <si>
    <t>RRYW</t>
  </si>
  <si>
    <t>3rd &amp; Lander - Yardwaste</t>
  </si>
  <si>
    <t>RRA1</t>
  </si>
  <si>
    <t>3rd &amp; Lander - Cardboard</t>
  </si>
  <si>
    <t>RRBC</t>
  </si>
  <si>
    <t>RRSS</t>
  </si>
  <si>
    <t>RRVC</t>
  </si>
  <si>
    <t>City Contract Street Sweeping</t>
  </si>
  <si>
    <t>RRKC</t>
  </si>
  <si>
    <t>King County Transfer</t>
  </si>
  <si>
    <t>RRZ1</t>
  </si>
  <si>
    <t>3rd &amp; Lander - CDL</t>
  </si>
  <si>
    <t>RRSB</t>
  </si>
  <si>
    <t>Rabanco Sand Blasting</t>
  </si>
  <si>
    <t>KC Transfer</t>
  </si>
  <si>
    <t>Calculated Revenue</t>
  </si>
  <si>
    <t>$ Variance</t>
  </si>
  <si>
    <t>% Variance</t>
  </si>
  <si>
    <t>Regulated Tons</t>
  </si>
  <si>
    <t>Non-Regulated Tons</t>
  </si>
  <si>
    <t>Monthly Pickups</t>
  </si>
  <si>
    <t>20 gallon can</t>
  </si>
  <si>
    <t>1.25 yd Special PIckup</t>
  </si>
  <si>
    <t>3 yd  Special PIckup</t>
  </si>
  <si>
    <t>4 yd Special PIckup</t>
  </si>
  <si>
    <t>32 Gal Special PIckup</t>
  </si>
  <si>
    <t>64 Gal Special PIckup</t>
  </si>
  <si>
    <t>96 Gal Special PIckup</t>
  </si>
  <si>
    <t>32 Gal Toter Special PIckup</t>
  </si>
  <si>
    <t>64 Gal Toter Special PIckup</t>
  </si>
  <si>
    <t>96 Gal Toter Special PIckup</t>
  </si>
  <si>
    <t>8 yd Special PIckup</t>
  </si>
  <si>
    <t>2 yd Special Pickup</t>
  </si>
  <si>
    <t>Annual Frequency</t>
  </si>
  <si>
    <t>6 yd Temporary</t>
  </si>
  <si>
    <t>2 yd Temporary</t>
  </si>
  <si>
    <t>1 yd Special Pickup</t>
  </si>
  <si>
    <t>no customers</t>
  </si>
  <si>
    <t>Company</t>
  </si>
  <si>
    <t>Current</t>
  </si>
  <si>
    <t>Proposed Increase</t>
  </si>
  <si>
    <t>Proposed</t>
  </si>
  <si>
    <t>Tariff</t>
  </si>
  <si>
    <t>Same as 1 Can/week</t>
  </si>
  <si>
    <t>Same as 2 Can/week</t>
  </si>
  <si>
    <t>Same as 3 Can/week</t>
  </si>
  <si>
    <t>Each</t>
  </si>
  <si>
    <t>Item 230, pg 39</t>
  </si>
  <si>
    <t>King County TS</t>
  </si>
  <si>
    <t>Per ton</t>
  </si>
  <si>
    <t>64 Gal Toter First Pickup</t>
  </si>
  <si>
    <t>32 Gal Toter First Pickup/Additional</t>
  </si>
  <si>
    <t>96 Gal Toter First Pickup/Additional</t>
  </si>
  <si>
    <t>1.25 yd First Pickup/Additional</t>
  </si>
  <si>
    <t>2 yd First Pickup/Additional</t>
  </si>
  <si>
    <t>3 yd First Pickup/Additional</t>
  </si>
  <si>
    <t>4 yd First Pickup/Additional</t>
  </si>
  <si>
    <t>6 yd First Pickup/Additional</t>
  </si>
  <si>
    <t>8 yd First Pickup/Additional</t>
  </si>
  <si>
    <t>1 yd First Pickup/Additional</t>
  </si>
  <si>
    <t>1.25 yd Special Pickup</t>
  </si>
  <si>
    <t>1 yd Temporary</t>
  </si>
  <si>
    <t>1.25 yd Temporary</t>
  </si>
  <si>
    <t>3 yd Temporary</t>
  </si>
  <si>
    <t>4 yd Temporary</t>
  </si>
  <si>
    <t>8 yd Temporary</t>
  </si>
  <si>
    <t>3 yd Pickup/Additional</t>
  </si>
  <si>
    <t>4 yd Pickup/Additional</t>
  </si>
  <si>
    <t>6 yd Pickup/Additional</t>
  </si>
  <si>
    <t>64 Gal Toter First Pickup/Additional</t>
  </si>
  <si>
    <t>32 Gal Can First Pickup/Additional</t>
  </si>
  <si>
    <t>Item 106, pg 30</t>
  </si>
  <si>
    <t>Bag Extra</t>
  </si>
  <si>
    <t>Check</t>
  </si>
  <si>
    <t>From most recent general rate case effective 6.1.2021</t>
  </si>
  <si>
    <t>Disposal Increase Effective 1/1/2023</t>
  </si>
  <si>
    <t>|chde</t>
  </si>
  <si>
    <t>Merged into Appendix A Customer Count</t>
  </si>
  <si>
    <t>Item 150, pg 33</t>
  </si>
  <si>
    <t>Bulky Materials, per yard</t>
  </si>
  <si>
    <t>Loose Materials, per yard</t>
  </si>
  <si>
    <t>Was missing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</si>
</sst>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</borders>
  <cellStyleXfs count="4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9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2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 applyProtection="1">
      <alignment horizontal="center"/>
    </xf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5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0" borderId="37" xfId="0" applyFont="1" applyFill="1" applyBorder="1" applyAlignment="1">
      <alignment vertical="center" textRotation="90"/>
    </xf>
    <xf numFmtId="0" fontId="0" fillId="0" borderId="38" xfId="0" applyFont="1" applyFill="1" applyBorder="1" applyAlignment="1">
      <alignment vertical="center" textRotation="90"/>
    </xf>
    <xf numFmtId="0" fontId="0" fillId="0" borderId="1" xfId="0" applyFont="1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0" fontId="0" fillId="0" borderId="0" xfId="0" applyFont="1" applyFill="1" applyBorder="1" applyAlignment="1">
      <alignment horizontal="left" vertical="center" wrapText="1"/>
    </xf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44" fontId="11" fillId="40" borderId="0" xfId="10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0" fontId="3" fillId="0" borderId="0" xfId="23" applyFont="1" applyAlignment="1">
      <alignment horizontal="center"/>
    </xf>
    <xf numFmtId="172" fontId="3" fillId="39" borderId="39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9" xfId="404" applyFont="1" applyAlignment="1">
      <alignment horizontal="center"/>
    </xf>
    <xf numFmtId="0" fontId="2" fillId="0" borderId="0" xfId="406" applyAlignment="1" applyProtection="1">
      <alignment horizontal="left"/>
      <protection locked="0"/>
    </xf>
    <xf numFmtId="0" fontId="63" fillId="0" borderId="40" xfId="23" applyFont="1" applyBorder="1" applyAlignment="1">
      <alignment horizontal="center"/>
    </xf>
    <xf numFmtId="0" fontId="1" fillId="0" borderId="40" xfId="23" applyBorder="1" applyAlignment="1">
      <alignment horizontal="center"/>
    </xf>
    <xf numFmtId="0" fontId="63" fillId="0" borderId="40" xfId="23" applyFont="1" applyBorder="1"/>
    <xf numFmtId="166" fontId="63" fillId="0" borderId="40" xfId="405" applyNumberFormat="1" applyFont="1" applyBorder="1"/>
    <xf numFmtId="166" fontId="64" fillId="0" borderId="40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40" xfId="23" applyFont="1" applyBorder="1" applyAlignment="1">
      <alignment horizontal="center"/>
    </xf>
    <xf numFmtId="0" fontId="65" fillId="0" borderId="40" xfId="23" applyFont="1" applyBorder="1"/>
    <xf numFmtId="1" fontId="65" fillId="39" borderId="39" xfId="408" applyNumberFormat="1" applyFont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66" fontId="65" fillId="0" borderId="0" xfId="405" applyNumberFormat="1" applyFont="1"/>
    <xf numFmtId="166" fontId="67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1" xfId="23" applyBorder="1" applyAlignment="1">
      <alignment horizontal="center"/>
    </xf>
    <xf numFmtId="166" fontId="12" fillId="0" borderId="41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2" xfId="404" applyFont="1" applyBorder="1" applyAlignment="1">
      <alignment horizontal="center"/>
    </xf>
    <xf numFmtId="0" fontId="63" fillId="2" borderId="40" xfId="23" applyFont="1" applyFill="1" applyBorder="1"/>
    <xf numFmtId="166" fontId="63" fillId="2" borderId="40" xfId="405" applyNumberFormat="1" applyFont="1" applyFill="1" applyBorder="1"/>
    <xf numFmtId="166" fontId="64" fillId="2" borderId="40" xfId="23" applyNumberFormat="1" applyFont="1" applyFill="1" applyBorder="1"/>
    <xf numFmtId="173" fontId="63" fillId="0" borderId="35" xfId="405" applyNumberFormat="1" applyFont="1" applyBorder="1"/>
    <xf numFmtId="0" fontId="63" fillId="0" borderId="43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1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9" xfId="404" applyNumberFormat="1" applyFont="1"/>
    <xf numFmtId="44" fontId="11" fillId="0" borderId="0" xfId="410" applyFont="1"/>
    <xf numFmtId="44" fontId="3" fillId="0" borderId="0" xfId="410" applyFont="1"/>
    <xf numFmtId="44" fontId="68" fillId="38" borderId="34" xfId="410" applyFont="1" applyFill="1" applyBorder="1"/>
    <xf numFmtId="0" fontId="69" fillId="38" borderId="34" xfId="23" applyFont="1" applyFill="1" applyBorder="1"/>
    <xf numFmtId="166" fontId="69" fillId="38" borderId="34" xfId="405" applyNumberFormat="1" applyFont="1" applyFill="1" applyBorder="1"/>
    <xf numFmtId="166" fontId="70" fillId="38" borderId="34" xfId="23" applyNumberFormat="1" applyFont="1" applyFill="1" applyBorder="1"/>
    <xf numFmtId="9" fontId="3" fillId="0" borderId="0" xfId="407" applyFont="1"/>
    <xf numFmtId="166" fontId="11" fillId="39" borderId="39" xfId="408" applyNumberFormat="1" applyFont="1"/>
    <xf numFmtId="0" fontId="3" fillId="0" borderId="0" xfId="23" applyFont="1" applyAlignment="1">
      <alignment horizontal="center" wrapText="1"/>
    </xf>
    <xf numFmtId="0" fontId="11" fillId="39" borderId="39" xfId="404" applyFont="1"/>
    <xf numFmtId="166" fontId="3" fillId="0" borderId="3" xfId="405" applyNumberFormat="1" applyFont="1" applyBorder="1"/>
    <xf numFmtId="44" fontId="11" fillId="38" borderId="0" xfId="410" applyFont="1" applyFill="1"/>
    <xf numFmtId="171" fontId="11" fillId="0" borderId="0" xfId="409" applyNumberFormat="1" applyFont="1"/>
    <xf numFmtId="171" fontId="11" fillId="0" borderId="0" xfId="409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0" fontId="73" fillId="0" borderId="0" xfId="411" applyFont="1"/>
    <xf numFmtId="43" fontId="1" fillId="0" borderId="0" xfId="1" applyFont="1"/>
    <xf numFmtId="0" fontId="73" fillId="0" borderId="0" xfId="412" applyFont="1"/>
    <xf numFmtId="0" fontId="74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3" fillId="0" borderId="0" xfId="1" applyFont="1" applyFill="1" applyAlignment="1">
      <alignment horizontal="center"/>
    </xf>
    <xf numFmtId="43" fontId="73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3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378"/>
    <xf numFmtId="44" fontId="2" fillId="0" borderId="0" xfId="10" applyFont="1" applyFill="1"/>
    <xf numFmtId="43" fontId="2" fillId="0" borderId="0" xfId="412" applyNumberFormat="1"/>
    <xf numFmtId="43" fontId="75" fillId="0" borderId="0" xfId="1" applyFont="1" applyFill="1"/>
    <xf numFmtId="0" fontId="2" fillId="0" borderId="0" xfId="412" applyFill="1"/>
    <xf numFmtId="0" fontId="0" fillId="0" borderId="0" xfId="0" applyFill="1"/>
    <xf numFmtId="44" fontId="0" fillId="42" borderId="0" xfId="2" applyFont="1" applyFill="1"/>
    <xf numFmtId="44" fontId="0" fillId="42" borderId="1" xfId="2" applyFont="1" applyFill="1" applyBorder="1"/>
    <xf numFmtId="169" fontId="0" fillId="0" borderId="0" xfId="0" applyNumberFormat="1" applyFont="1" applyFill="1"/>
    <xf numFmtId="169" fontId="0" fillId="42" borderId="0" xfId="2" applyNumberFormat="1" applyFont="1" applyFill="1"/>
    <xf numFmtId="44" fontId="0" fillId="5" borderId="0" xfId="2" applyFont="1" applyFill="1" applyBorder="1"/>
    <xf numFmtId="166" fontId="11" fillId="5" borderId="0" xfId="1" applyNumberFormat="1" applyFont="1" applyFill="1" applyBorder="1" applyAlignment="1">
      <alignment horizontal="left" indent="2"/>
    </xf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44" fontId="11" fillId="5" borderId="0" xfId="10" applyFont="1" applyFill="1" applyBorder="1"/>
    <xf numFmtId="166" fontId="11" fillId="42" borderId="0" xfId="373" applyNumberFormat="1" applyFont="1" applyFill="1"/>
    <xf numFmtId="0" fontId="0" fillId="43" borderId="0" xfId="0" applyFont="1" applyFill="1" applyBorder="1" applyAlignment="1">
      <alignment horizontal="left" vertical="center"/>
    </xf>
    <xf numFmtId="0" fontId="11" fillId="43" borderId="0" xfId="4" applyFont="1" applyFill="1" applyBorder="1" applyAlignment="1">
      <alignment horizontal="left"/>
    </xf>
    <xf numFmtId="43" fontId="0" fillId="43" borderId="0" xfId="1" applyNumberFormat="1" applyFont="1" applyFill="1" applyBorder="1"/>
    <xf numFmtId="37" fontId="11" fillId="43" borderId="0" xfId="4" applyNumberFormat="1" applyFont="1" applyFill="1" applyAlignment="1" applyProtection="1">
      <alignment horizontal="right"/>
    </xf>
    <xf numFmtId="166" fontId="11" fillId="43" borderId="0" xfId="1" applyNumberFormat="1" applyFont="1" applyFill="1" applyBorder="1" applyAlignment="1">
      <alignment horizontal="left" indent="2"/>
    </xf>
    <xf numFmtId="166" fontId="0" fillId="43" borderId="0" xfId="1" applyNumberFormat="1" applyFont="1" applyFill="1" applyBorder="1"/>
    <xf numFmtId="166" fontId="0" fillId="43" borderId="0" xfId="1" applyNumberFormat="1" applyFont="1" applyFill="1" applyBorder="1" applyAlignment="1">
      <alignment horizontal="center" wrapText="1"/>
    </xf>
    <xf numFmtId="44" fontId="0" fillId="43" borderId="0" xfId="2" applyFont="1" applyFill="1" applyBorder="1"/>
    <xf numFmtId="44" fontId="11" fillId="43" borderId="0" xfId="10" applyFont="1" applyFill="1" applyBorder="1"/>
    <xf numFmtId="166" fontId="0" fillId="42" borderId="0" xfId="1" applyNumberFormat="1" applyFont="1" applyFill="1" applyBorder="1"/>
    <xf numFmtId="166" fontId="11" fillId="42" borderId="1" xfId="1" applyNumberFormat="1" applyFont="1" applyFill="1" applyBorder="1" applyAlignment="1">
      <alignment horizontal="left" indent="2"/>
    </xf>
    <xf numFmtId="44" fontId="11" fillId="42" borderId="0" xfId="10" applyFont="1" applyFill="1"/>
    <xf numFmtId="44" fontId="11" fillId="5" borderId="0" xfId="10" applyFont="1" applyFill="1"/>
    <xf numFmtId="44" fontId="0" fillId="42" borderId="0" xfId="2" applyFont="1" applyFill="1" applyBorder="1"/>
    <xf numFmtId="44" fontId="11" fillId="42" borderId="0" xfId="10" applyFont="1" applyFill="1" applyBorder="1"/>
    <xf numFmtId="0" fontId="0" fillId="0" borderId="37" xfId="0" applyFont="1" applyFill="1" applyBorder="1"/>
    <xf numFmtId="37" fontId="11" fillId="0" borderId="0" xfId="4" applyNumberFormat="1" applyFont="1" applyFill="1" applyBorder="1" applyAlignment="1" applyProtection="1">
      <alignment horizontal="right"/>
    </xf>
    <xf numFmtId="37" fontId="11" fillId="0" borderId="0" xfId="4" applyNumberFormat="1" applyFont="1" applyFill="1" applyAlignment="1" applyProtection="1">
      <alignment horizontal="right"/>
    </xf>
    <xf numFmtId="44" fontId="11" fillId="5" borderId="1" xfId="10" applyFont="1" applyFill="1" applyBorder="1"/>
    <xf numFmtId="44" fontId="0" fillId="5" borderId="1" xfId="2" applyFont="1" applyFill="1" applyBorder="1"/>
    <xf numFmtId="0" fontId="0" fillId="44" borderId="0" xfId="0" applyFont="1" applyFill="1" applyBorder="1" applyAlignment="1">
      <alignment horizontal="left"/>
    </xf>
    <xf numFmtId="0" fontId="11" fillId="44" borderId="0" xfId="274" applyFont="1" applyFill="1" applyBorder="1" applyAlignment="1">
      <alignment horizontal="left"/>
    </xf>
    <xf numFmtId="166" fontId="11" fillId="44" borderId="0" xfId="373" applyNumberFormat="1" applyFont="1" applyFill="1" applyBorder="1"/>
    <xf numFmtId="43" fontId="0" fillId="44" borderId="0" xfId="1" applyNumberFormat="1" applyFont="1" applyFill="1" applyBorder="1"/>
    <xf numFmtId="37" fontId="11" fillId="44" borderId="0" xfId="4" applyNumberFormat="1" applyFont="1" applyFill="1" applyBorder="1" applyAlignment="1" applyProtection="1">
      <alignment horizontal="right"/>
    </xf>
    <xf numFmtId="166" fontId="11" fillId="44" borderId="0" xfId="1" applyNumberFormat="1" applyFont="1" applyFill="1" applyBorder="1" applyAlignment="1">
      <alignment horizontal="left" indent="2"/>
    </xf>
    <xf numFmtId="166" fontId="0" fillId="44" borderId="0" xfId="1" applyNumberFormat="1" applyFont="1" applyFill="1" applyBorder="1"/>
    <xf numFmtId="166" fontId="0" fillId="44" borderId="0" xfId="1" applyNumberFormat="1" applyFont="1" applyFill="1" applyBorder="1" applyAlignment="1">
      <alignment horizontal="center" wrapText="1"/>
    </xf>
    <xf numFmtId="44" fontId="0" fillId="44" borderId="0" xfId="2" applyFont="1" applyFill="1" applyBorder="1"/>
    <xf numFmtId="44" fontId="11" fillId="44" borderId="0" xfId="10" applyFont="1" applyFill="1" applyBorder="1"/>
    <xf numFmtId="166" fontId="0" fillId="44" borderId="3" xfId="1" applyNumberFormat="1" applyFont="1" applyFill="1" applyBorder="1"/>
    <xf numFmtId="166" fontId="0" fillId="44" borderId="3" xfId="1" applyNumberFormat="1" applyFont="1" applyFill="1" applyBorder="1" applyAlignment="1">
      <alignment horizontal="center" wrapText="1"/>
    </xf>
    <xf numFmtId="44" fontId="0" fillId="44" borderId="3" xfId="2" applyFont="1" applyFill="1" applyBorder="1"/>
    <xf numFmtId="44" fontId="11" fillId="44" borderId="3" xfId="10" applyFont="1" applyFill="1" applyBorder="1"/>
    <xf numFmtId="166" fontId="11" fillId="42" borderId="0" xfId="373" applyNumberFormat="1" applyFont="1" applyFill="1" applyBorder="1"/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3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/Accounting%20II/WUTC%20Filings/Other%20Rate%20Cases/2022%20Disposal%20Increase/TG-210258%20Staff%20Workbook%205-18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EB9B13F1-A81F-4432-ADB3-D375979B5C15}" userId="Sharbono, Benjamin (UTC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" dT="2022-12-02T01:26:49.69" personId="{EB9B13F1-A81F-4432-ADB3-D375979B5C15}" id="{D55687F6-8C12-4078-A3AB-7B25D0F95EBF}">
    <text>Was listed as $24.47. Current Tariff on file has $24.48.</text>
  </threadedComment>
  <threadedComment ref="M6" dT="2022-12-02T01:28:27.21" personId="{EB9B13F1-A81F-4432-ADB3-D375979B5C15}" id="{E0060300-F8F2-4EE8-94D5-91237AE0F14E}">
    <text>Was $47.95. Current Tariff shows $48.00</text>
  </threadedComment>
  <threadedComment ref="M9" dT="2022-12-02T01:29:48.30" personId="{EB9B13F1-A81F-4432-ADB3-D375979B5C15}" id="{137BAC6D-34CF-4FBB-B7BF-3994955FEFD1}">
    <text>Was $24.28. Current Tariff shows $24.48.</text>
  </threadedComment>
  <threadedComment ref="M10" dT="2022-12-02T01:30:36.65" personId="{EB9B13F1-A81F-4432-ADB3-D375979B5C15}" id="{3ED426A8-66B3-4655-8B7D-D346F31A91FC}">
    <text>Was $35.43. Current Tariff shows $35.87.</text>
  </threadedComment>
  <threadedComment ref="G20" dT="2022-12-02T01:54:27.03" personId="{EB9B13F1-A81F-4432-ADB3-D375979B5C15}" id="{7AD42632-31EE-49FC-A092-B82E6D2589BB}">
    <text>Staff accepts this calculation for 1.25-Yard weight. Calculation divides the increase in weight from 1-Yard to 1.5-Yard weights by 2, then adds to 1-Yard Meeks weight.</text>
  </threadedComment>
  <threadedComment ref="M21" dT="2022-12-02T01:32:38.48" personId="{EB9B13F1-A81F-4432-ADB3-D375979B5C15}" id="{FBCB2975-1924-4C91-870B-790063F1156C}">
    <text>Was $36.23. Current Tariff shows $36.22.</text>
  </threadedComment>
  <threadedComment ref="M22" dT="2022-12-02T01:33:31.55" personId="{EB9B13F1-A81F-4432-ADB3-D375979B5C15}" id="{A2279E9A-51E8-4BFC-BCF6-AF86A29CD40A}">
    <text>Was $53.22. Current Tariff shows $53.21.</text>
  </threadedComment>
  <threadedComment ref="M23" dT="2022-12-02T01:34:11.35" personId="{EB9B13F1-A81F-4432-ADB3-D375979B5C15}" id="{AF783913-F397-48BA-B1CB-C9A9B6832FD6}">
    <text>Was $68.23. Current Tariff shows $68.21.</text>
  </threadedComment>
  <threadedComment ref="M24" dT="2022-12-02T01:34:45.77" personId="{EB9B13F1-A81F-4432-ADB3-D375979B5C15}" id="{E8CEBB8C-8794-4764-B1FE-BFD4A6A12E5A}">
    <text>Was $101.44. Tariff shows $101.42</text>
  </threadedComment>
  <threadedComment ref="M25" dT="2022-12-02T01:35:22.14" personId="{EB9B13F1-A81F-4432-ADB3-D375979B5C15}" id="{A353F6F2-EF78-435E-B3EE-037A7468EC20}">
    <text>Was $131.21. Current tariff shows $131.19.</text>
  </threadedComment>
  <threadedComment ref="M28" dT="2022-12-02T01:36:26.98" personId="{EB9B13F1-A81F-4432-ADB3-D375979B5C15}" id="{68660CCC-BFEC-4629-BE3D-73FA592D46EE}">
    <text>Was $40.60. Current tariff shows $40.59.</text>
  </threadedComment>
  <threadedComment ref="M29" dT="2022-12-02T01:37:25.79" personId="{EB9B13F1-A81F-4432-ADB3-D375979B5C15}" id="{5EB9D7E5-A58A-4B1F-B335-8932FA3ABF97}">
    <text>Was $56.93. Current tariff shows $56.92.</text>
  </threadedComment>
  <threadedComment ref="M30" dT="2022-12-02T01:38:13.93" personId="{EB9B13F1-A81F-4432-ADB3-D375979B5C15}" id="{817A4667-E740-4A59-AA45-DAF24F878072}">
    <text>Was $74.46. Current tariff shows $74.44.</text>
  </threadedComment>
  <threadedComment ref="M31" dT="2022-12-02T01:38:57.34" personId="{EB9B13F1-A81F-4432-ADB3-D375979B5C15}" id="{B229694D-D3D1-4F74-892F-95FABD5BC4E4}">
    <text>Was $110.17. Current tariff shows $110.15.</text>
  </threadedComment>
  <threadedComment ref="M32" dT="2022-12-02T01:39:45.34" personId="{EB9B13F1-A81F-4432-ADB3-D375979B5C15}" id="{DF522C2D-78C0-4433-B3A2-31D13E16EA49}">
    <text>Was $39.83. Current tariff shows $39.82.</text>
  </threadedComment>
  <threadedComment ref="M33" dT="2022-12-02T01:40:37.41" personId="{EB9B13F1-A81F-4432-ADB3-D375979B5C15}" id="{AD35CF51-74E7-4F92-A619-8AEB4C395536}">
    <text>Was $106.67. Current tariff shows $106.65.</text>
  </threadedComment>
  <threadedComment ref="L34" dT="2022-12-02T01:50:59.25" personId="{EB9B13F1-A81F-4432-ADB3-D375979B5C15}" id="{E6841089-F282-4C7F-B296-DB4DB394C24B}">
    <text>Original formula divided total weight increase ($21.33) by annual pickups (156)then multiplied by annual frequency (12). This formula calculates annual rate increase, not per pickup. Revised to calculate per pickup as required for tariff.</text>
  </threadedComment>
  <threadedComment ref="M34" dT="2022-12-02T01:51:57.19" personId="{EB9B13F1-A81F-4432-ADB3-D375979B5C15}" id="{CED6F05C-E2AF-46D6-9EE9-73F94E3B02FF}">
    <text>Was $5.21. Current tariff shows rate as $3.86.</text>
  </threadedComment>
  <threadedComment ref="M42" dT="2022-12-02T01:55:50.95" personId="{EB9B13F1-A81F-4432-ADB3-D375979B5C15}" id="{9502152D-C0D8-42CF-84BA-BA066BB3B46D}">
    <text>Was $47.62. Current tariff shows rate as $47.63.</text>
  </threadedComment>
  <threadedComment ref="M43" dT="2022-12-02T01:56:51.39" personId="{EB9B13F1-A81F-4432-ADB3-D375979B5C15}" id="{312DB7CE-0962-4946-B010-DCD8A496119A}">
    <text>Was $70.38. Current tariff shows rate as $70.39.</text>
  </threadedComment>
  <threadedComment ref="M44" dT="2022-12-02T01:57:34.36" personId="{EB9B13F1-A81F-4432-ADB3-D375979B5C15}" id="{3E42BE3E-A955-4939-B93A-D95AE7B753FB}">
    <text>Was $91.10. Current tariff shows rate as $91.12.</text>
  </threadedComment>
  <threadedComment ref="M45" dT="2022-12-02T01:58:31.76" personId="{EB9B13F1-A81F-4432-ADB3-D375979B5C15}" id="{20DB8570-A323-4E9F-84D9-7C9765049CC8}">
    <text>Was $135.85. Current tariff shows as $135.87.</text>
  </threadedComment>
  <threadedComment ref="M46" dT="2022-12-02T01:59:07.07" personId="{EB9B13F1-A81F-4432-ADB3-D375979B5C15}" id="{C472807A-7611-4C71-9CC6-E12DAA9DCE68}">
    <text>Was $177.11. Current tariff shows rate as $177.13.</text>
  </threadedComment>
  <threadedComment ref="M54" dT="2022-12-02T02:01:28.31" personId="{EB9B13F1-A81F-4432-ADB3-D375979B5C15}" id="{466451BF-CACB-44FE-8032-F50AC2C8BB76}">
    <text>Was $60.43. Current tariff shows $60.44.</text>
  </threadedComment>
  <threadedComment ref="G56" dT="2022-12-02T17:48:16.36" personId="{EB9B13F1-A81F-4432-ADB3-D375979B5C15}" id="{5376A181-F051-47CE-AF67-696BB4BE096D}">
    <text>Was the 2-32-Gallon weight. After email to the company, the company agrees to use the Super 60-Gallon weight standardly used with 64-Gallon services.</text>
  </threadedComment>
  <threadedComment ref="M56" dT="2022-12-02T02:02:33.40" personId="{EB9B13F1-A81F-4432-ADB3-D375979B5C15}" id="{B7E79A72-C978-4551-9A82-EA487A8834B6}">
    <text>Was $24.47. Current tariff shows rate as $24.48.</text>
  </threadedComment>
  <threadedComment ref="G57" dT="2022-12-02T17:49:02.15" personId="{EB9B13F1-A81F-4432-ADB3-D375979B5C15}" id="{C7439001-09F9-4691-905A-27311150491E}">
    <text>Was the 3-32-Gallon weight. After email to the company, the company agrees to use the 90-Gallon weight standardly used with 96-Gallon services.</text>
  </threadedComment>
  <threadedComment ref="G74" dT="2022-12-02T17:48:16.36" personId="{EB9B13F1-A81F-4432-ADB3-D375979B5C15}" id="{244A912F-1888-4575-9AFC-4888D27A3420}">
    <text>Was the 2-32-Gallon weight. After email to the company, the company agrees to use the Super 60-Gallon weight standardly used with 64-Gallon services.</text>
  </threadedComment>
  <threadedComment ref="M74" dT="2022-12-02T02:02:33.40" personId="{EB9B13F1-A81F-4432-ADB3-D375979B5C15}" id="{518134B9-42F4-4336-913B-26D714E416D4}">
    <text>Was $24.47. Current tariff shows rate as $24.48.</text>
  </threadedComment>
  <threadedComment ref="G75" dT="2022-12-02T17:49:02.15" personId="{EB9B13F1-A81F-4432-ADB3-D375979B5C15}" id="{731043C1-80CA-4AA3-9150-C3B5D81825D9}">
    <text>Was the 3-32-Gallon weight. After email to the company, the company agrees to use the 90-Gallon weight standardly used with 96-Gallon services.</text>
  </threadedComment>
  <threadedComment ref="M82" dT="2022-12-02T02:07:02.82" personId="{EB9B13F1-A81F-4432-ADB3-D375979B5C15}" id="{0F6A9280-9D27-4B82-B150-0BBAA44C629B}">
    <text>Was $48.67. Current tariff shows as $48.68.</text>
  </threadedComment>
  <threadedComment ref="M83" dT="2022-12-02T02:07:52.93" personId="{EB9B13F1-A81F-4432-ADB3-D375979B5C15}" id="{7D9734F8-C758-4F98-9C82-FB7DBDF62033}">
    <text>Was $69.29. Current tariff shows as $69.30.</text>
  </threadedComment>
  <threadedComment ref="M103" dT="2022-12-02T02:10:50.15" personId="{EB9B13F1-A81F-4432-ADB3-D375979B5C15}" id="{7E692CF9-0DB2-4DFD-AE72-307B09636B4D}">
    <text>Was $133.45. Current tariff shows rate as $132.84.</text>
  </threadedComment>
  <threadedComment ref="M106" dT="2022-12-02T02:12:36.63" personId="{EB9B13F1-A81F-4432-ADB3-D375979B5C15}" id="{3B72450F-8948-47B1-96DF-DE2B07546295}">
    <text>Was $54.84. Current tariff shows as $54.83.</text>
  </threadedComment>
  <threadedComment ref="M107" dT="2022-12-02T02:13:24.65" personId="{EB9B13F1-A81F-4432-ADB3-D375979B5C15}" id="{BBBCDEC5-DBD6-4E95-A516-CF6F8598812B}">
    <text>Was $71.77. Current tariff shows as $71.75.</text>
  </threadedComment>
  <threadedComment ref="M108" dT="2022-12-02T02:14:07.32" personId="{EB9B13F1-A81F-4432-ADB3-D375979B5C15}" id="{83903963-9C3F-489A-BC7E-6978180AE56C}">
    <text>Was $129.72. Current tariff shows as $129.70.</text>
  </threadedComment>
  <threadedComment ref="M110" dT="2022-12-02T02:18:39.20" personId="{EB9B13F1-A81F-4432-ADB3-D375979B5C15}" id="{9B57766E-1581-485C-B385-DE1039FED0B4}">
    <text>Was $180.18. Current tariff shows as $180.15.</text>
  </threadedComment>
  <threadedComment ref="M111" dT="2022-12-02T02:17:13.76" personId="{EB9B13F1-A81F-4432-ADB3-D375979B5C15}" id="{78F0FAEC-F780-4DA1-AC63-11EA5296BF44}">
    <text>Was $307.62. Current tariff shows as $307.58.</text>
  </threadedComment>
  <threadedComment ref="M112" dT="2022-12-02T02:17:51.73" personId="{EB9B13F1-A81F-4432-ADB3-D375979B5C15}" id="{213FC2D7-CEED-4A4D-9281-CE276393B845}">
    <text>Was $395.61. Current tariff shows as $395.56.</text>
  </threadedComment>
  <threadedComment ref="M113" dT="2022-12-02T02:19:18.54" personId="{EB9B13F1-A81F-4432-ADB3-D375979B5C15}" id="{96C9B4AC-408D-4288-8113-A3A1D33E8FB6}">
    <text>Was $183.10. Current tariff shows as $183.07.</text>
  </threadedComment>
  <threadedComment ref="M114" dT="2022-12-02T02:19:55.31" personId="{EB9B13F1-A81F-4432-ADB3-D375979B5C15}" id="{ECAFB8CC-0358-45BA-B86B-16828AD95862}">
    <text>Was $310.23. Current tariff shows as $310.19.</text>
  </threadedComment>
  <threadedComment ref="M115" dT="2022-12-02T02:20:33.44" personId="{EB9B13F1-A81F-4432-ADB3-D375979B5C15}" id="{02B6CF11-C2EC-43DF-991C-429DBD685318}">
    <text>Was $398.01. Current tariff shows as $397.96.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W135"/>
  <sheetViews>
    <sheetView topLeftCell="A7" zoomScaleNormal="100" workbookViewId="0"/>
  </sheetViews>
  <sheetFormatPr defaultRowHeight="15"/>
  <cols>
    <col min="1" max="1" width="68.5703125" bestFit="1" customWidth="1"/>
    <col min="2" max="2" width="16.28515625" bestFit="1" customWidth="1"/>
    <col min="3" max="3" width="9.28515625" style="246" bestFit="1" customWidth="1"/>
    <col min="4" max="4" width="19.28515625" style="246" bestFit="1" customWidth="1"/>
    <col min="5" max="5" width="10.7109375" style="246" bestFit="1" customWidth="1"/>
    <col min="6" max="6" width="18.85546875" style="246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45" t="s">
        <v>287</v>
      </c>
    </row>
    <row r="2" spans="1:16">
      <c r="A2" s="247" t="s">
        <v>286</v>
      </c>
      <c r="B2" s="248"/>
      <c r="C2" s="249"/>
      <c r="D2" s="250"/>
      <c r="E2" s="250"/>
      <c r="F2" s="250"/>
      <c r="G2" s="251"/>
      <c r="H2" s="251"/>
      <c r="I2" s="251"/>
      <c r="J2" s="251"/>
      <c r="K2" s="251"/>
      <c r="L2" s="251"/>
    </row>
    <row r="3" spans="1:16">
      <c r="A3" s="252" t="s">
        <v>248</v>
      </c>
      <c r="B3" s="251"/>
      <c r="C3" s="253"/>
      <c r="D3" s="254"/>
      <c r="E3" s="254" t="s">
        <v>249</v>
      </c>
      <c r="F3" s="250"/>
      <c r="G3" s="251"/>
      <c r="H3" s="251"/>
      <c r="I3" s="251"/>
      <c r="J3" s="255"/>
      <c r="K3" s="251"/>
      <c r="L3" s="251"/>
    </row>
    <row r="4" spans="1:16">
      <c r="A4" s="251"/>
      <c r="B4" s="251"/>
      <c r="C4" s="253" t="s">
        <v>250</v>
      </c>
      <c r="D4" s="254" t="s">
        <v>251</v>
      </c>
      <c r="E4" s="254" t="s">
        <v>252</v>
      </c>
      <c r="F4" s="254"/>
      <c r="G4" s="251"/>
      <c r="H4" s="256"/>
      <c r="I4" s="255"/>
      <c r="J4" s="257"/>
      <c r="K4" s="251"/>
      <c r="L4" s="251"/>
    </row>
    <row r="5" spans="1:16">
      <c r="A5" s="251"/>
      <c r="B5" s="251"/>
      <c r="C5" s="253" t="s">
        <v>253</v>
      </c>
      <c r="D5" s="254" t="s">
        <v>10</v>
      </c>
      <c r="E5" s="258">
        <v>44927</v>
      </c>
      <c r="F5" s="259"/>
      <c r="G5" s="251"/>
      <c r="H5" s="260"/>
      <c r="I5" s="255"/>
      <c r="J5" s="255"/>
      <c r="K5" s="251"/>
      <c r="L5" s="251"/>
    </row>
    <row r="6" spans="1:16">
      <c r="A6" s="247"/>
      <c r="B6" s="247"/>
      <c r="C6" s="261"/>
      <c r="D6" s="250"/>
      <c r="E6" s="250"/>
      <c r="F6" s="250"/>
      <c r="G6" s="251"/>
      <c r="H6" s="251"/>
      <c r="I6" s="255"/>
      <c r="J6" s="251"/>
      <c r="K6" s="251"/>
      <c r="L6" s="251"/>
    </row>
    <row r="7" spans="1:16">
      <c r="A7" s="247" t="s">
        <v>118</v>
      </c>
      <c r="B7" s="247"/>
      <c r="C7" s="261"/>
      <c r="D7" s="250"/>
      <c r="E7" s="250"/>
      <c r="F7" s="250"/>
      <c r="G7" s="251"/>
      <c r="H7" s="251"/>
      <c r="I7" s="262"/>
      <c r="J7" s="251"/>
      <c r="K7" s="251"/>
      <c r="L7" s="251"/>
    </row>
    <row r="8" spans="1:16">
      <c r="A8" s="251" t="str">
        <f>'Price Out Rates'!$C$2</f>
        <v>20 gallon can</v>
      </c>
      <c r="B8" s="251"/>
      <c r="C8" s="250">
        <f>'Price Out Rates'!M2</f>
        <v>9</v>
      </c>
      <c r="D8" s="250">
        <f>'Price Out Rates'!L2</f>
        <v>0.40870443655462568</v>
      </c>
      <c r="E8" s="250">
        <f>C8+D8</f>
        <v>9.4087044365546255</v>
      </c>
      <c r="F8" s="250"/>
      <c r="G8" s="261"/>
      <c r="H8" s="261"/>
      <c r="I8" s="261"/>
      <c r="J8" s="261"/>
      <c r="K8" s="261"/>
      <c r="L8" s="261"/>
      <c r="M8" s="261"/>
      <c r="N8" s="261"/>
      <c r="O8" s="261"/>
      <c r="P8" s="261"/>
    </row>
    <row r="9" spans="1:16">
      <c r="A9" s="251" t="str">
        <f>'Price Out Rates'!$C$3</f>
        <v>1 Can wk</v>
      </c>
      <c r="B9" s="251"/>
      <c r="C9" s="250">
        <f>'Price Out Rates'!M3</f>
        <v>14.49</v>
      </c>
      <c r="D9" s="250">
        <f>'Price Out Rates'!L3</f>
        <v>0.69479754214286393</v>
      </c>
      <c r="E9" s="250">
        <f t="shared" ref="E9:E20" si="0">C9+D9</f>
        <v>15.184797542142864</v>
      </c>
      <c r="F9" s="250"/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>
      <c r="A10" s="251" t="str">
        <f>'Price Out Rates'!$C$4</f>
        <v>2  Can wk</v>
      </c>
      <c r="B10" s="251"/>
      <c r="C10" s="250">
        <f>'Price Out Rates'!M4</f>
        <v>24.48</v>
      </c>
      <c r="D10" s="250">
        <f>'Price Out Rates'!L4</f>
        <v>1.0421963132142957</v>
      </c>
      <c r="E10" s="250">
        <f t="shared" si="0"/>
        <v>25.522196313214295</v>
      </c>
      <c r="F10" s="250"/>
      <c r="G10" s="261"/>
      <c r="H10" s="261"/>
      <c r="I10" s="261"/>
      <c r="J10" s="261"/>
      <c r="K10" s="261"/>
      <c r="L10" s="261"/>
      <c r="M10" s="261"/>
      <c r="N10" s="261"/>
      <c r="O10" s="261"/>
      <c r="P10" s="261"/>
    </row>
    <row r="11" spans="1:16">
      <c r="A11" s="251" t="str">
        <f>'Price Out Rates'!$C$5</f>
        <v>3 Can wk</v>
      </c>
      <c r="B11" s="251"/>
      <c r="C11" s="250">
        <f>'Price Out Rates'!M5</f>
        <v>35.869999999999997</v>
      </c>
      <c r="D11" s="250">
        <f>'Price Out Rates'!L5</f>
        <v>1.5735120807353093</v>
      </c>
      <c r="E11" s="250">
        <f t="shared" si="0"/>
        <v>37.44351208073531</v>
      </c>
      <c r="F11" s="250"/>
      <c r="G11" s="261"/>
      <c r="H11" s="261"/>
      <c r="I11" s="261"/>
      <c r="J11" s="261"/>
      <c r="K11" s="261"/>
      <c r="L11" s="261"/>
      <c r="M11" s="261"/>
      <c r="N11" s="261"/>
      <c r="O11" s="261"/>
      <c r="P11" s="261"/>
    </row>
    <row r="12" spans="1:16">
      <c r="A12" s="251" t="str">
        <f>'Price Out Rates'!$C$6</f>
        <v>4 Can wk</v>
      </c>
      <c r="B12" s="251"/>
      <c r="C12" s="250">
        <f>'Price Out Rates'!M6</f>
        <v>48</v>
      </c>
      <c r="D12" s="250">
        <f>'Price Out Rates'!L6</f>
        <v>1.9822165172899351</v>
      </c>
      <c r="E12" s="250">
        <f t="shared" si="0"/>
        <v>49.982216517289935</v>
      </c>
      <c r="F12" s="250"/>
      <c r="G12" s="261"/>
      <c r="H12" s="261"/>
      <c r="I12" s="261"/>
      <c r="J12" s="261"/>
      <c r="K12" s="261"/>
      <c r="L12" s="261"/>
      <c r="M12" s="261"/>
      <c r="N12" s="261"/>
      <c r="O12" s="261"/>
      <c r="P12" s="261"/>
    </row>
    <row r="13" spans="1:16">
      <c r="A13" s="263" t="str">
        <f>'Price Out Rates'!$C$54</f>
        <v>5 Can wk</v>
      </c>
      <c r="B13" s="263"/>
      <c r="C13" s="264">
        <f>'Price Out Rates'!M54</f>
        <v>60.44</v>
      </c>
      <c r="D13" s="264">
        <f>'Price Out Rates'!L54</f>
        <v>2.390920953844561</v>
      </c>
      <c r="E13" s="264">
        <f t="shared" si="0"/>
        <v>62.830920953844561</v>
      </c>
      <c r="F13" s="250"/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>
      <c r="A14" s="251" t="str">
        <f>'Price Out Rates'!$C$7</f>
        <v>1 Can Monthly</v>
      </c>
      <c r="B14" s="251"/>
      <c r="C14" s="250">
        <f>'Price Out Rates'!M7</f>
        <v>5.09</v>
      </c>
      <c r="D14" s="250">
        <f>'Price Out Rates'!L7</f>
        <v>0.1603378943406609</v>
      </c>
      <c r="E14" s="250">
        <f t="shared" si="0"/>
        <v>5.2503378943406611</v>
      </c>
      <c r="F14" s="250"/>
      <c r="G14" s="261"/>
      <c r="H14" s="261"/>
      <c r="I14" s="261"/>
      <c r="J14" s="261"/>
      <c r="K14" s="261"/>
      <c r="L14" s="261"/>
      <c r="M14" s="261"/>
      <c r="N14" s="261"/>
      <c r="O14" s="261"/>
      <c r="P14" s="261"/>
    </row>
    <row r="15" spans="1:16">
      <c r="A15" s="251" t="str">
        <f>'Price Out Rates'!$C$8</f>
        <v>32 Gal Tote wk</v>
      </c>
      <c r="B15" s="251"/>
      <c r="C15" s="250">
        <f>'Price Out Rates'!M8</f>
        <v>14.49</v>
      </c>
      <c r="D15" s="250">
        <f>'Price Out Rates'!L8</f>
        <v>0.69479754214286382</v>
      </c>
      <c r="E15" s="250">
        <f t="shared" si="0"/>
        <v>15.184797542142864</v>
      </c>
      <c r="F15" s="250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>
      <c r="A16" s="251" t="str">
        <f>'Price Out Rates'!$C$9</f>
        <v>64 Gal Tote wk</v>
      </c>
      <c r="B16" s="251"/>
      <c r="C16" s="250">
        <f>'Price Out Rates'!M9</f>
        <v>24.48</v>
      </c>
      <c r="D16" s="250">
        <f>'Price Out Rates'!L9</f>
        <v>0.96045542590337063</v>
      </c>
      <c r="E16" s="250">
        <f t="shared" si="0"/>
        <v>25.44045542590337</v>
      </c>
      <c r="F16" s="250"/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>
      <c r="A17" s="251" t="str">
        <f>'Price Out Rates'!$C$10</f>
        <v>96 Gal Tote wk</v>
      </c>
      <c r="B17" s="251"/>
      <c r="C17" s="250">
        <f>'Price Out Rates'!M10</f>
        <v>35.43</v>
      </c>
      <c r="D17" s="250">
        <f>'Price Out Rates'!L10</f>
        <v>1.3895950842857279</v>
      </c>
      <c r="E17" s="250">
        <f t="shared" si="0"/>
        <v>36.81959508428573</v>
      </c>
      <c r="F17" s="250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>
      <c r="A18" s="263" t="str">
        <f>'Price Out Rates'!$C$55</f>
        <v>32 Gal Bear Proof Toter</v>
      </c>
      <c r="B18" s="263"/>
      <c r="C18" s="264">
        <f>C9</f>
        <v>14.49</v>
      </c>
      <c r="D18" s="264">
        <f>'Price Out Rates'!L55</f>
        <v>0.69479754214286371</v>
      </c>
      <c r="E18" s="264">
        <f t="shared" si="0"/>
        <v>15.184797542142864</v>
      </c>
      <c r="F18" s="250" t="s">
        <v>254</v>
      </c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>
      <c r="A19" s="263" t="str">
        <f>'Price Out Rates'!$C$56</f>
        <v>64 Gal Bear Proof Toter</v>
      </c>
      <c r="B19" s="263"/>
      <c r="C19" s="264">
        <f t="shared" ref="C19:C20" si="1">C10</f>
        <v>24.48</v>
      </c>
      <c r="D19" s="264">
        <f>'Price Out Rates'!L56</f>
        <v>0.96045542590337063</v>
      </c>
      <c r="E19" s="264">
        <f t="shared" si="0"/>
        <v>25.44045542590337</v>
      </c>
      <c r="F19" s="250" t="s">
        <v>255</v>
      </c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>
      <c r="A20" s="263" t="str">
        <f>'Price Out Rates'!$C$57</f>
        <v>96 Gal Bear Proof Toter</v>
      </c>
      <c r="B20" s="263"/>
      <c r="C20" s="264">
        <f t="shared" si="1"/>
        <v>35.869999999999997</v>
      </c>
      <c r="D20" s="264">
        <f>'Price Out Rates'!L57</f>
        <v>1.3895950842857274</v>
      </c>
      <c r="E20" s="264">
        <f t="shared" si="0"/>
        <v>37.259595084285728</v>
      </c>
      <c r="F20" s="250" t="s">
        <v>256</v>
      </c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16">
      <c r="A21" s="251"/>
      <c r="B21" s="251"/>
      <c r="C21" s="250"/>
      <c r="D21" s="250"/>
      <c r="E21" s="250"/>
      <c r="F21" s="250"/>
      <c r="G21" s="251"/>
      <c r="H21" s="251"/>
      <c r="I21" s="251"/>
      <c r="J21" s="251"/>
      <c r="K21" s="251"/>
      <c r="L21" s="251"/>
      <c r="M21" s="251"/>
      <c r="N21" s="251"/>
      <c r="O21" s="251"/>
      <c r="P21" s="251"/>
    </row>
    <row r="22" spans="1:16">
      <c r="A22" s="247" t="s">
        <v>116</v>
      </c>
      <c r="B22" s="251"/>
      <c r="C22" s="261"/>
      <c r="D22" s="250"/>
      <c r="E22" s="250"/>
      <c r="F22" s="250"/>
      <c r="G22" s="251"/>
      <c r="H22" s="251"/>
      <c r="I22" s="251"/>
      <c r="J22" s="251"/>
      <c r="K22" s="251"/>
      <c r="L22" s="251"/>
      <c r="M22" s="251"/>
      <c r="N22" s="251"/>
      <c r="O22" s="251"/>
      <c r="P22" s="251"/>
    </row>
    <row r="23" spans="1:16">
      <c r="A23" s="263" t="str">
        <f>'Price Out Rates'!C58</f>
        <v>32 Gal extra</v>
      </c>
      <c r="B23" s="263" t="s">
        <v>257</v>
      </c>
      <c r="C23" s="264">
        <f>'Price Out Rates'!M58</f>
        <v>4.38</v>
      </c>
      <c r="D23" s="264">
        <f>'Price Out Rates'!L58</f>
        <v>0.1603378943406609</v>
      </c>
      <c r="E23" s="264">
        <f t="shared" ref="E23:E24" si="2">C23+D23</f>
        <v>4.5403378943406612</v>
      </c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</row>
    <row r="24" spans="1:16">
      <c r="A24" s="263" t="str">
        <f>'Price Out Rates'!C59</f>
        <v>Bag Extra</v>
      </c>
      <c r="B24" s="263" t="s">
        <v>257</v>
      </c>
      <c r="C24" s="264">
        <f>'Price Out Rates'!M59</f>
        <v>4.38</v>
      </c>
      <c r="D24" s="264">
        <f>'Price Out Rates'!L59</f>
        <v>0.1603378943406609</v>
      </c>
      <c r="E24" s="264">
        <f t="shared" si="2"/>
        <v>4.5403378943406612</v>
      </c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</row>
    <row r="25" spans="1:16">
      <c r="A25" s="251"/>
      <c r="B25" s="251"/>
      <c r="C25" s="250"/>
      <c r="D25" s="250"/>
      <c r="E25" s="250"/>
      <c r="F25" s="250"/>
      <c r="G25" s="251"/>
      <c r="H25" s="251"/>
      <c r="I25" s="251"/>
      <c r="J25" s="251"/>
      <c r="K25" s="251"/>
      <c r="L25" s="251"/>
      <c r="M25" s="251"/>
      <c r="N25" s="251"/>
      <c r="O25" s="251"/>
      <c r="P25" s="251"/>
    </row>
    <row r="26" spans="1:16">
      <c r="A26" s="251"/>
      <c r="B26" s="251"/>
      <c r="C26" s="250"/>
      <c r="D26" s="250"/>
      <c r="E26" s="250"/>
      <c r="F26" s="250"/>
      <c r="G26" s="251"/>
      <c r="H26" s="251"/>
      <c r="I26" s="251"/>
      <c r="J26" s="251"/>
      <c r="K26" s="251"/>
      <c r="L26" s="251"/>
      <c r="M26" s="251"/>
      <c r="N26" s="251"/>
      <c r="O26" s="251"/>
      <c r="P26" s="251"/>
    </row>
    <row r="27" spans="1:16">
      <c r="A27" s="247" t="s">
        <v>119</v>
      </c>
      <c r="B27" s="247"/>
      <c r="C27" s="261"/>
      <c r="D27" s="250"/>
      <c r="E27" s="250"/>
      <c r="F27" s="250"/>
      <c r="G27" s="251"/>
      <c r="H27" s="251"/>
      <c r="I27" s="251"/>
      <c r="J27" s="251"/>
      <c r="K27" s="251"/>
      <c r="L27" s="251"/>
      <c r="M27" s="251"/>
      <c r="N27" s="251"/>
      <c r="O27" s="251"/>
      <c r="P27" s="251"/>
    </row>
    <row r="28" spans="1:16">
      <c r="A28" s="251" t="str">
        <f>'Price Out Rates'!C63</f>
        <v>20 gallon can</v>
      </c>
      <c r="B28" s="251"/>
      <c r="C28" s="250">
        <f>'Price Out Rates'!M63</f>
        <v>9</v>
      </c>
      <c r="D28" s="250">
        <f>'Price Out Rates'!L63</f>
        <v>0.40870443655462579</v>
      </c>
      <c r="E28" s="250">
        <f>C28+D28</f>
        <v>9.4087044365546255</v>
      </c>
      <c r="F28" s="250"/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>
      <c r="A29" s="251" t="str">
        <f>'Price Out Rates'!C64</f>
        <v>1 Can wk</v>
      </c>
      <c r="B29" s="251"/>
      <c r="C29" s="250">
        <f>'Price Out Rates'!M64</f>
        <v>14.49</v>
      </c>
      <c r="D29" s="250">
        <f>'Price Out Rates'!L64</f>
        <v>0.69479754214286393</v>
      </c>
      <c r="E29" s="250">
        <f t="shared" ref="E29:E40" si="3">C29+D29</f>
        <v>15.184797542142864</v>
      </c>
      <c r="F29" s="250"/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>
      <c r="A30" s="251" t="str">
        <f>'Price Out Rates'!C65</f>
        <v>2  Can wk</v>
      </c>
      <c r="B30" s="251"/>
      <c r="C30" s="250">
        <f>'Price Out Rates'!M65</f>
        <v>24.47</v>
      </c>
      <c r="D30" s="250">
        <f>'Price Out Rates'!L65</f>
        <v>1.042196313214296</v>
      </c>
      <c r="E30" s="250">
        <f t="shared" si="3"/>
        <v>25.512196313214297</v>
      </c>
      <c r="F30" s="250"/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  <row r="31" spans="1:16">
      <c r="A31" s="251" t="str">
        <f>'Price Out Rates'!C66</f>
        <v>3 Can wk</v>
      </c>
      <c r="B31" s="251"/>
      <c r="C31" s="250">
        <f>'Price Out Rates'!M66</f>
        <v>35.869999999999997</v>
      </c>
      <c r="D31" s="250">
        <f>'Price Out Rates'!L66</f>
        <v>1.5735120807353093</v>
      </c>
      <c r="E31" s="250">
        <f t="shared" si="3"/>
        <v>37.44351208073531</v>
      </c>
      <c r="F31" s="250"/>
      <c r="G31" s="261"/>
      <c r="H31" s="261"/>
      <c r="I31" s="261"/>
      <c r="J31" s="261"/>
      <c r="K31" s="261"/>
      <c r="L31" s="261"/>
      <c r="M31" s="261"/>
      <c r="N31" s="261"/>
      <c r="O31" s="261"/>
      <c r="P31" s="261"/>
    </row>
    <row r="32" spans="1:16">
      <c r="A32" s="251" t="str">
        <f>'Price Out Rates'!C67</f>
        <v>4 Can wk</v>
      </c>
      <c r="B32" s="251"/>
      <c r="C32" s="250">
        <f>'Price Out Rates'!M67</f>
        <v>47.95</v>
      </c>
      <c r="D32" s="250">
        <f>'Price Out Rates'!L67</f>
        <v>1.9822165172899351</v>
      </c>
      <c r="E32" s="250">
        <f t="shared" si="3"/>
        <v>49.932216517289937</v>
      </c>
      <c r="F32" s="250"/>
      <c r="G32" s="261"/>
      <c r="H32" s="261"/>
      <c r="I32" s="261"/>
      <c r="J32" s="261"/>
      <c r="K32" s="261"/>
      <c r="L32" s="261"/>
      <c r="M32" s="261"/>
      <c r="N32" s="261"/>
      <c r="O32" s="261"/>
      <c r="P32" s="261"/>
    </row>
    <row r="33" spans="1:23">
      <c r="A33" s="251" t="str">
        <f>'Price Out Rates'!C68</f>
        <v>5 Can wk</v>
      </c>
      <c r="B33" s="251"/>
      <c r="C33" s="250">
        <f>'Price Out Rates'!M68</f>
        <v>60.43</v>
      </c>
      <c r="D33" s="250">
        <f>'Price Out Rates'!L68</f>
        <v>2.390920953844561</v>
      </c>
      <c r="E33" s="250">
        <f t="shared" si="3"/>
        <v>62.820920953844563</v>
      </c>
      <c r="F33" s="250"/>
      <c r="G33" s="261"/>
      <c r="H33" s="261"/>
      <c r="I33" s="261"/>
      <c r="J33" s="261"/>
      <c r="K33" s="261"/>
      <c r="L33" s="261"/>
      <c r="M33" s="261"/>
      <c r="N33" s="261"/>
      <c r="O33" s="261"/>
      <c r="P33" s="261"/>
    </row>
    <row r="34" spans="1:23">
      <c r="A34" s="251" t="str">
        <f>'Price Out Rates'!C69</f>
        <v>1 Can Monthly</v>
      </c>
      <c r="B34" s="251"/>
      <c r="C34" s="250">
        <f>'Price Out Rates'!M69</f>
        <v>5.09</v>
      </c>
      <c r="D34" s="250">
        <f>'Price Out Rates'!L69</f>
        <v>0.16033789434066092</v>
      </c>
      <c r="E34" s="250">
        <f t="shared" si="3"/>
        <v>5.2503378943406611</v>
      </c>
      <c r="F34" s="250"/>
      <c r="G34" s="261"/>
      <c r="H34" s="261"/>
      <c r="I34" s="261"/>
      <c r="J34" s="261"/>
      <c r="K34" s="261"/>
      <c r="L34" s="261"/>
      <c r="M34" s="261"/>
      <c r="N34" s="261"/>
      <c r="O34" s="261"/>
      <c r="P34" s="261"/>
    </row>
    <row r="35" spans="1:23">
      <c r="A35" s="251" t="str">
        <f>'Price Out Rates'!C70</f>
        <v>32 Gal Tote wk</v>
      </c>
      <c r="B35" s="251"/>
      <c r="C35" s="250">
        <f>'Price Out Rates'!M70</f>
        <v>14.49</v>
      </c>
      <c r="D35" s="250">
        <f>'Price Out Rates'!L70</f>
        <v>0.69479754214286382</v>
      </c>
      <c r="E35" s="250">
        <f t="shared" si="3"/>
        <v>15.184797542142864</v>
      </c>
      <c r="F35" s="250"/>
      <c r="G35" s="261"/>
      <c r="H35" s="261"/>
      <c r="I35" s="261"/>
      <c r="J35" s="261"/>
      <c r="K35" s="261"/>
      <c r="L35" s="261"/>
      <c r="M35" s="261"/>
      <c r="N35" s="261"/>
      <c r="O35" s="261"/>
      <c r="P35" s="261"/>
    </row>
    <row r="36" spans="1:23">
      <c r="A36" s="251" t="str">
        <f>'Price Out Rates'!C71</f>
        <v>60 Gal Tote wk</v>
      </c>
      <c r="B36" s="251"/>
      <c r="C36" s="250">
        <f>'Price Out Rates'!M71</f>
        <v>24.28</v>
      </c>
      <c r="D36" s="250">
        <f>'Price Out Rates'!L71</f>
        <v>0.96045542590337074</v>
      </c>
      <c r="E36" s="250">
        <f t="shared" si="3"/>
        <v>25.24045542590337</v>
      </c>
      <c r="F36" s="250"/>
      <c r="G36" s="261"/>
      <c r="H36" s="261"/>
      <c r="I36" s="261"/>
      <c r="J36" s="261"/>
      <c r="K36" s="261"/>
      <c r="L36" s="261"/>
      <c r="M36" s="261"/>
      <c r="N36" s="261"/>
      <c r="O36" s="261"/>
      <c r="P36" s="261"/>
    </row>
    <row r="37" spans="1:23">
      <c r="A37" s="251" t="str">
        <f>'Price Out Rates'!C72</f>
        <v>96 Gal Tote wk</v>
      </c>
      <c r="B37" s="251"/>
      <c r="C37" s="250">
        <f>'Price Out Rates'!M72</f>
        <v>35.43</v>
      </c>
      <c r="D37" s="250">
        <f>'Price Out Rates'!L72</f>
        <v>1.3895950842857276</v>
      </c>
      <c r="E37" s="250">
        <f t="shared" si="3"/>
        <v>36.81959508428573</v>
      </c>
      <c r="F37" s="250"/>
      <c r="G37" s="261"/>
      <c r="H37" s="261"/>
      <c r="I37" s="261"/>
      <c r="J37" s="261"/>
      <c r="K37" s="261"/>
      <c r="L37" s="261"/>
      <c r="M37" s="261"/>
      <c r="N37" s="261"/>
      <c r="O37" s="261"/>
      <c r="P37" s="261"/>
    </row>
    <row r="38" spans="1:23">
      <c r="A38" s="263" t="str">
        <f>'Price Out Rates'!C73</f>
        <v>32 Gal Bear Proof Toter</v>
      </c>
      <c r="B38" s="263"/>
      <c r="C38" s="264">
        <f>C29</f>
        <v>14.49</v>
      </c>
      <c r="D38" s="264">
        <f>'Price Out Rates'!L73</f>
        <v>0.69479754214286371</v>
      </c>
      <c r="E38" s="264">
        <f t="shared" si="3"/>
        <v>15.184797542142864</v>
      </c>
      <c r="F38" s="250" t="s">
        <v>254</v>
      </c>
      <c r="G38" s="261"/>
      <c r="H38" s="261"/>
      <c r="I38" s="261"/>
      <c r="J38" s="261"/>
      <c r="K38" s="261"/>
      <c r="L38" s="261"/>
      <c r="M38" s="261"/>
      <c r="N38" s="261"/>
      <c r="O38" s="261"/>
      <c r="P38" s="261"/>
    </row>
    <row r="39" spans="1:23">
      <c r="A39" s="263" t="str">
        <f>'Price Out Rates'!C74</f>
        <v>64 Gal Bear Proof Toter</v>
      </c>
      <c r="B39" s="263"/>
      <c r="C39" s="264">
        <f>C30</f>
        <v>24.47</v>
      </c>
      <c r="D39" s="264">
        <f>'Price Out Rates'!L74</f>
        <v>0.96045542590337063</v>
      </c>
      <c r="E39" s="264">
        <f t="shared" si="3"/>
        <v>25.430455425903368</v>
      </c>
      <c r="F39" s="250" t="s">
        <v>255</v>
      </c>
      <c r="G39" s="261"/>
      <c r="H39" s="261"/>
      <c r="I39" s="261"/>
      <c r="J39" s="261"/>
      <c r="K39" s="261"/>
      <c r="L39" s="261"/>
      <c r="M39" s="261"/>
      <c r="N39" s="261"/>
      <c r="O39" s="261"/>
      <c r="P39" s="261"/>
    </row>
    <row r="40" spans="1:23">
      <c r="A40" s="263" t="str">
        <f>'Price Out Rates'!C75</f>
        <v>96 Gal Bear Proof Toter</v>
      </c>
      <c r="B40" s="263"/>
      <c r="C40" s="264">
        <f>C31</f>
        <v>35.869999999999997</v>
      </c>
      <c r="D40" s="264">
        <f>'Price Out Rates'!L75</f>
        <v>1.3895950842857274</v>
      </c>
      <c r="E40" s="264">
        <f t="shared" si="3"/>
        <v>37.259595084285728</v>
      </c>
      <c r="F40" s="250" t="s">
        <v>256</v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</row>
    <row r="41" spans="1:23">
      <c r="A41" s="251"/>
      <c r="B41" s="251"/>
      <c r="C41" s="261"/>
      <c r="D41" s="261"/>
      <c r="E41" s="261"/>
      <c r="F41" s="261"/>
      <c r="G41" s="251"/>
      <c r="H41" s="265"/>
      <c r="I41" s="266"/>
      <c r="J41" s="251"/>
      <c r="K41" s="251"/>
      <c r="L41" s="251"/>
    </row>
    <row r="42" spans="1:23">
      <c r="A42" s="247" t="s">
        <v>120</v>
      </c>
      <c r="B42" s="251"/>
      <c r="C42" s="261"/>
      <c r="D42" s="250"/>
      <c r="E42" s="250"/>
      <c r="F42" s="250"/>
      <c r="G42" s="251"/>
      <c r="H42" s="251"/>
      <c r="I42" s="262"/>
      <c r="J42" s="251"/>
      <c r="K42" s="251"/>
      <c r="L42" s="251"/>
    </row>
    <row r="43" spans="1:23">
      <c r="A43" s="263" t="str">
        <f>'Price Out Rates'!C60</f>
        <v>32 Gal extra</v>
      </c>
      <c r="B43" s="263" t="s">
        <v>257</v>
      </c>
      <c r="C43" s="264">
        <f>'Price Out Rates'!M60</f>
        <v>4.38</v>
      </c>
      <c r="D43" s="264">
        <f>'Price Out Rates'!L60</f>
        <v>0.1603378943406609</v>
      </c>
      <c r="E43" s="264">
        <f t="shared" ref="E43:E44" si="4">C43+D43</f>
        <v>4.5403378943406612</v>
      </c>
      <c r="F43" s="250"/>
      <c r="G43" s="251"/>
      <c r="H43" s="262"/>
      <c r="I43" s="262"/>
      <c r="J43" s="251"/>
      <c r="K43" s="267"/>
      <c r="L43" s="251"/>
    </row>
    <row r="44" spans="1:23">
      <c r="A44" s="263" t="str">
        <f>'Price Out Rates'!C61</f>
        <v>Bag Extra</v>
      </c>
      <c r="B44" s="263" t="s">
        <v>257</v>
      </c>
      <c r="C44" s="264">
        <f>'Price Out Rates'!M61</f>
        <v>4.38</v>
      </c>
      <c r="D44" s="264">
        <f>'Price Out Rates'!L61</f>
        <v>0.1603378943406609</v>
      </c>
      <c r="E44" s="264">
        <f t="shared" si="4"/>
        <v>4.5403378943406612</v>
      </c>
      <c r="F44" s="250"/>
      <c r="G44" s="251"/>
      <c r="H44" s="262"/>
      <c r="I44" s="262"/>
      <c r="J44" s="251"/>
      <c r="K44" s="267"/>
      <c r="L44" s="251"/>
    </row>
    <row r="45" spans="1:23">
      <c r="A45" s="251"/>
      <c r="B45" s="251"/>
      <c r="C45" s="250"/>
      <c r="D45" s="250"/>
      <c r="E45" s="250"/>
      <c r="F45" s="250"/>
      <c r="G45" s="251"/>
      <c r="H45" s="262"/>
      <c r="I45" s="262"/>
      <c r="J45" s="251"/>
      <c r="K45" s="267"/>
      <c r="L45" s="251"/>
    </row>
    <row r="46" spans="1:23">
      <c r="A46" s="247" t="s">
        <v>109</v>
      </c>
      <c r="B46" s="251"/>
      <c r="C46" s="261"/>
      <c r="D46" s="250"/>
      <c r="E46" s="250"/>
      <c r="F46" s="250"/>
      <c r="G46" s="251"/>
      <c r="H46" s="251"/>
      <c r="I46" s="262"/>
      <c r="J46" s="251"/>
      <c r="K46" s="251"/>
      <c r="L46" s="251"/>
    </row>
    <row r="47" spans="1:23">
      <c r="A47" s="251" t="str">
        <f>'Price Out Rates'!C38</f>
        <v>32 Gal Toter First Pickup/Additional</v>
      </c>
      <c r="B47" s="251" t="s">
        <v>257</v>
      </c>
      <c r="C47" s="250">
        <f>'Price Out Rates'!M38</f>
        <v>4.26</v>
      </c>
      <c r="D47" s="250">
        <f>'Price Out Rates'!L38</f>
        <v>0.16033789434066092</v>
      </c>
      <c r="E47" s="250">
        <f>D47+C47</f>
        <v>4.420337894340661</v>
      </c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</row>
    <row r="48" spans="1:23">
      <c r="A48" s="263" t="str">
        <f>'Price Out Rates'!C76</f>
        <v>64 Gal Toter First Pickup</v>
      </c>
      <c r="B48" s="263" t="s">
        <v>257</v>
      </c>
      <c r="C48" s="264">
        <f>'Price Out Rates'!M76</f>
        <v>11.58</v>
      </c>
      <c r="D48" s="264">
        <f>'Price Out Rates'!L76</f>
        <v>0.22164355982385484</v>
      </c>
      <c r="E48" s="264">
        <f t="shared" ref="E48:E66" si="5">D48+C48</f>
        <v>11.801643559823855</v>
      </c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</row>
    <row r="49" spans="1:23">
      <c r="A49" s="251" t="str">
        <f>'Price Out Rates'!C39</f>
        <v>96 Gal Toter First Pickup/Additional</v>
      </c>
      <c r="B49" s="251" t="s">
        <v>257</v>
      </c>
      <c r="C49" s="250">
        <f>'Price Out Rates'!M39</f>
        <v>11.63</v>
      </c>
      <c r="D49" s="250">
        <f>'Price Out Rates'!L39</f>
        <v>0.32067578868132179</v>
      </c>
      <c r="E49" s="250">
        <f t="shared" si="5"/>
        <v>11.950675788681323</v>
      </c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</row>
    <row r="50" spans="1:23">
      <c r="A50" s="251" t="str">
        <f>'Price Out Rates'!C40</f>
        <v>1 yd First Pickup/Additional</v>
      </c>
      <c r="B50" s="251" t="s">
        <v>257</v>
      </c>
      <c r="C50" s="250">
        <f>'Price Out Rates'!M40</f>
        <v>25.53</v>
      </c>
      <c r="D50" s="250">
        <f>'Price Out Rates'!L40</f>
        <v>0.82526857381222529</v>
      </c>
      <c r="E50" s="250">
        <f t="shared" si="5"/>
        <v>26.355268573812225</v>
      </c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</row>
    <row r="51" spans="1:23">
      <c r="A51" s="251" t="str">
        <f>'Price Out Rates'!C41</f>
        <v>1.25 yd First Pickup/Additional</v>
      </c>
      <c r="B51" s="251" t="s">
        <v>257</v>
      </c>
      <c r="C51" s="250">
        <f>'Price Out Rates'!M41</f>
        <v>30.61</v>
      </c>
      <c r="D51" s="250">
        <f>'Price Out Rates'!L41</f>
        <v>1.0021118396291306</v>
      </c>
      <c r="E51" s="250">
        <f t="shared" si="5"/>
        <v>31.612111839629129</v>
      </c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</row>
    <row r="52" spans="1:23">
      <c r="A52" s="251" t="str">
        <f>'Price Out Rates'!C42</f>
        <v>2 yd First Pickup/Additional</v>
      </c>
      <c r="B52" s="251" t="s">
        <v>257</v>
      </c>
      <c r="C52" s="250">
        <f>'Price Out Rates'!M42</f>
        <v>47.63</v>
      </c>
      <c r="D52" s="250">
        <f>'Price Out Rates'!L42</f>
        <v>1.5279258166580625</v>
      </c>
      <c r="E52" s="250">
        <f t="shared" si="5"/>
        <v>49.157925816658064</v>
      </c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</row>
    <row r="53" spans="1:23">
      <c r="A53" s="251" t="str">
        <f>'Price Out Rates'!C43</f>
        <v>3 yd First Pickup/Additional</v>
      </c>
      <c r="B53" s="251" t="s">
        <v>257</v>
      </c>
      <c r="C53" s="250">
        <f>'Price Out Rates'!M43</f>
        <v>70.39</v>
      </c>
      <c r="D53" s="250">
        <f>'Price Out Rates'!L43</f>
        <v>2.2305830595039002</v>
      </c>
      <c r="E53" s="250">
        <f t="shared" si="5"/>
        <v>72.6205830595039</v>
      </c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</row>
    <row r="54" spans="1:23">
      <c r="A54" s="251" t="str">
        <f>'Price Out Rates'!C44</f>
        <v>4 yd First Pickup/Additional</v>
      </c>
      <c r="B54" s="251" t="s">
        <v>257</v>
      </c>
      <c r="C54" s="250">
        <f>'Price Out Rates'!M44</f>
        <v>91.12</v>
      </c>
      <c r="D54" s="250">
        <f>'Price Out Rates'!L44</f>
        <v>2.8907979185536807</v>
      </c>
      <c r="E54" s="250">
        <f t="shared" si="5"/>
        <v>94.010797918553692</v>
      </c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</row>
    <row r="55" spans="1:23">
      <c r="A55" s="251" t="str">
        <f>'Price Out Rates'!C45</f>
        <v>6 yd First Pickup/Additional</v>
      </c>
      <c r="B55" s="251" t="s">
        <v>257</v>
      </c>
      <c r="C55" s="250">
        <f>'Price Out Rates'!M45</f>
        <v>135.87</v>
      </c>
      <c r="D55" s="250">
        <f>'Price Out Rates'!L45</f>
        <v>3.9612891542986812</v>
      </c>
      <c r="E55" s="250">
        <f t="shared" si="5"/>
        <v>139.83128915429867</v>
      </c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</row>
    <row r="56" spans="1:23">
      <c r="A56" s="251" t="str">
        <f>'Price Out Rates'!C46</f>
        <v>8 yd First Pickup/Additional</v>
      </c>
      <c r="B56" s="251" t="s">
        <v>257</v>
      </c>
      <c r="C56" s="250">
        <f>'Price Out Rates'!M46</f>
        <v>177.13</v>
      </c>
      <c r="D56" s="250">
        <f>'Price Out Rates'!L46</f>
        <v>4.6215040133484608</v>
      </c>
      <c r="E56" s="250">
        <f t="shared" si="5"/>
        <v>181.75150401334847</v>
      </c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</row>
    <row r="57" spans="1:23">
      <c r="A57" s="263" t="str">
        <f>'Price Out Rates'!C77</f>
        <v>32 Gal Special PIckup</v>
      </c>
      <c r="B57" s="263" t="s">
        <v>257</v>
      </c>
      <c r="C57" s="264">
        <f>'Price Out Rates'!M77</f>
        <v>7.44</v>
      </c>
      <c r="D57" s="264">
        <f>'Price Out Rates'!L77</f>
        <v>0.1603378943406609</v>
      </c>
      <c r="E57" s="264">
        <f t="shared" si="5"/>
        <v>7.6003378943406616</v>
      </c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</row>
    <row r="58" spans="1:23">
      <c r="A58" s="263" t="str">
        <f>'Price Out Rates'!C78</f>
        <v>64 Gal Special PIckup</v>
      </c>
      <c r="B58" s="263" t="s">
        <v>257</v>
      </c>
      <c r="C58" s="264">
        <f>'Price Out Rates'!M78</f>
        <v>9.94</v>
      </c>
      <c r="D58" s="264">
        <f>'Price Out Rates'!L78</f>
        <v>0.22164355982385484</v>
      </c>
      <c r="E58" s="264">
        <f t="shared" si="5"/>
        <v>10.161643559823855</v>
      </c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</row>
    <row r="59" spans="1:23">
      <c r="A59" s="263" t="str">
        <f>'Price Out Rates'!C79</f>
        <v>96 Gal Special PIckup</v>
      </c>
      <c r="B59" s="263" t="s">
        <v>257</v>
      </c>
      <c r="C59" s="264">
        <f>'Price Out Rates'!M79</f>
        <v>11.13</v>
      </c>
      <c r="D59" s="264">
        <f>'Price Out Rates'!L79</f>
        <v>0.32067578868132179</v>
      </c>
      <c r="E59" s="264">
        <f t="shared" si="5"/>
        <v>11.450675788681323</v>
      </c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</row>
    <row r="60" spans="1:23">
      <c r="A60" s="263" t="str">
        <f>'Price Out Rates'!C80</f>
        <v>1 yd Special Pickup</v>
      </c>
      <c r="B60" s="263" t="s">
        <v>257</v>
      </c>
      <c r="C60" s="264">
        <f>'Price Out Rates'!M80</f>
        <v>27.42</v>
      </c>
      <c r="D60" s="264">
        <f>'Price Out Rates'!L80</f>
        <v>0.82526857381222518</v>
      </c>
      <c r="E60" s="264">
        <f t="shared" si="5"/>
        <v>28.245268573812226</v>
      </c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</row>
    <row r="61" spans="1:23">
      <c r="A61" s="263" t="str">
        <f>'Price Out Rates'!C81</f>
        <v>1.25 yd Special Pickup</v>
      </c>
      <c r="B61" s="263" t="s">
        <v>257</v>
      </c>
      <c r="C61" s="264">
        <f>'Price Out Rates'!M81</f>
        <v>29.58</v>
      </c>
      <c r="D61" s="264">
        <f>'Price Out Rates'!L81</f>
        <v>1.0021118396291306</v>
      </c>
      <c r="E61" s="264">
        <f t="shared" si="5"/>
        <v>30.582111839629128</v>
      </c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</row>
    <row r="62" spans="1:23">
      <c r="A62" s="263" t="str">
        <f>'Price Out Rates'!C82</f>
        <v>2 yd Special Pickup</v>
      </c>
      <c r="B62" s="263" t="s">
        <v>257</v>
      </c>
      <c r="C62" s="264">
        <f>'Price Out Rates'!M82</f>
        <v>48.68</v>
      </c>
      <c r="D62" s="264">
        <f>'Price Out Rates'!L82</f>
        <v>1.5279258166580627</v>
      </c>
      <c r="E62" s="264">
        <f t="shared" si="5"/>
        <v>50.207925816658062</v>
      </c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</row>
    <row r="63" spans="1:23">
      <c r="A63" s="263" t="str">
        <f>'Price Out Rates'!C83</f>
        <v>3 yd Special Pickup</v>
      </c>
      <c r="B63" s="263" t="s">
        <v>257</v>
      </c>
      <c r="C63" s="264">
        <f>'Price Out Rates'!M83</f>
        <v>69.3</v>
      </c>
      <c r="D63" s="264">
        <f>'Price Out Rates'!L83</f>
        <v>2.2305830595039002</v>
      </c>
      <c r="E63" s="264">
        <f t="shared" si="5"/>
        <v>71.530583059503897</v>
      </c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</row>
    <row r="64" spans="1:23">
      <c r="A64" s="263" t="str">
        <f>'Price Out Rates'!C84</f>
        <v>4 yd Special Pickup</v>
      </c>
      <c r="B64" s="263" t="s">
        <v>257</v>
      </c>
      <c r="C64" s="264">
        <f>'Price Out Rates'!M84</f>
        <v>91.2</v>
      </c>
      <c r="D64" s="264">
        <f>'Price Out Rates'!L84</f>
        <v>2.8907979185536807</v>
      </c>
      <c r="E64" s="264">
        <f t="shared" si="5"/>
        <v>94.09079791855369</v>
      </c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</row>
    <row r="65" spans="1:23">
      <c r="A65" s="263" t="str">
        <f>'Price Out Rates'!C85</f>
        <v>6 yd Special Pickup</v>
      </c>
      <c r="B65" s="263" t="s">
        <v>257</v>
      </c>
      <c r="C65" s="264">
        <f>'Price Out Rates'!M85</f>
        <v>136.54</v>
      </c>
      <c r="D65" s="264">
        <f>'Price Out Rates'!L85</f>
        <v>3.9612891542986812</v>
      </c>
      <c r="E65" s="264">
        <f t="shared" si="5"/>
        <v>140.50128915429866</v>
      </c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</row>
    <row r="66" spans="1:23">
      <c r="A66" s="263" t="str">
        <f>'Price Out Rates'!C86</f>
        <v>8 yd Special PIckup</v>
      </c>
      <c r="B66" s="263" t="s">
        <v>257</v>
      </c>
      <c r="C66" s="264">
        <f>'Price Out Rates'!M86</f>
        <v>199.81</v>
      </c>
      <c r="D66" s="264">
        <f>'Price Out Rates'!L86</f>
        <v>4.6215040133484617</v>
      </c>
      <c r="E66" s="264">
        <f t="shared" si="5"/>
        <v>204.43150401334847</v>
      </c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</row>
    <row r="67" spans="1:23">
      <c r="A67" s="263" t="str">
        <f>'Price Out Rates'!C87</f>
        <v>1 yd Temporary</v>
      </c>
      <c r="B67" s="263" t="s">
        <v>257</v>
      </c>
      <c r="C67" s="264">
        <f>'Price Out Rates'!M87</f>
        <v>34.020000000000003</v>
      </c>
      <c r="D67" s="264">
        <f>'Price Out Rates'!L87</f>
        <v>0.82526857381222518</v>
      </c>
      <c r="E67" s="264">
        <f t="shared" ref="E67:E75" si="6">D67+C67</f>
        <v>34.845268573812227</v>
      </c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</row>
    <row r="68" spans="1:23">
      <c r="A68" s="263" t="str">
        <f>'Price Out Rates'!C88</f>
        <v>1.25 yd Temporary</v>
      </c>
      <c r="B68" s="263" t="s">
        <v>257</v>
      </c>
      <c r="C68" s="264">
        <f>'Price Out Rates'!M88</f>
        <v>37.36</v>
      </c>
      <c r="D68" s="264">
        <f>'Price Out Rates'!L88</f>
        <v>1.0021118396291306</v>
      </c>
      <c r="E68" s="264">
        <f t="shared" si="6"/>
        <v>38.362111839629129</v>
      </c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</row>
    <row r="69" spans="1:23">
      <c r="A69" s="263" t="str">
        <f>'Price Out Rates'!C89</f>
        <v>2 yd Temporary</v>
      </c>
      <c r="B69" s="263" t="s">
        <v>257</v>
      </c>
      <c r="C69" s="264">
        <f>'Price Out Rates'!M89</f>
        <v>48.96</v>
      </c>
      <c r="D69" s="264">
        <f>'Price Out Rates'!L89</f>
        <v>1.5279258166580627</v>
      </c>
      <c r="E69" s="264">
        <f t="shared" si="6"/>
        <v>50.487925816658063</v>
      </c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</row>
    <row r="70" spans="1:23">
      <c r="A70" s="263" t="str">
        <f>'Price Out Rates'!C90</f>
        <v>3 yd Temporary</v>
      </c>
      <c r="B70" s="263" t="s">
        <v>257</v>
      </c>
      <c r="C70" s="264">
        <f>'Price Out Rates'!M90</f>
        <v>69.540000000000006</v>
      </c>
      <c r="D70" s="264">
        <f>'Price Out Rates'!L90</f>
        <v>2.2305830595039002</v>
      </c>
      <c r="E70" s="264">
        <f t="shared" si="6"/>
        <v>71.770583059503906</v>
      </c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</row>
    <row r="71" spans="1:23">
      <c r="A71" s="263" t="str">
        <f>'Price Out Rates'!C91</f>
        <v>4 yd Temporary</v>
      </c>
      <c r="B71" s="263" t="s">
        <v>257</v>
      </c>
      <c r="C71" s="264">
        <f>'Price Out Rates'!M91</f>
        <v>91.41</v>
      </c>
      <c r="D71" s="264">
        <f>'Price Out Rates'!L91</f>
        <v>2.8907979185536807</v>
      </c>
      <c r="E71" s="264">
        <f t="shared" si="6"/>
        <v>94.300797918553684</v>
      </c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</row>
    <row r="72" spans="1:23">
      <c r="A72" s="263" t="str">
        <f>'Price Out Rates'!C92</f>
        <v>6 yd Temporary</v>
      </c>
      <c r="B72" s="263" t="s">
        <v>257</v>
      </c>
      <c r="C72" s="264">
        <f>'Price Out Rates'!M92</f>
        <v>136.12</v>
      </c>
      <c r="D72" s="264">
        <f>'Price Out Rates'!L92</f>
        <v>3.9612891542986812</v>
      </c>
      <c r="E72" s="264">
        <f t="shared" si="6"/>
        <v>140.08128915429867</v>
      </c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</row>
    <row r="73" spans="1:23">
      <c r="A73" s="263" t="str">
        <f>'Price Out Rates'!C93</f>
        <v>8 yd Temporary</v>
      </c>
      <c r="B73" s="263" t="s">
        <v>257</v>
      </c>
      <c r="C73" s="264">
        <f>'Price Out Rates'!M93</f>
        <v>169.26</v>
      </c>
      <c r="D73" s="264">
        <f>'Price Out Rates'!L93</f>
        <v>4.6215040133484617</v>
      </c>
      <c r="E73" s="264">
        <f t="shared" si="6"/>
        <v>173.88150401334846</v>
      </c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</row>
    <row r="74" spans="1:23">
      <c r="A74" s="251"/>
      <c r="B74" s="251"/>
      <c r="C74" s="250"/>
      <c r="D74" s="250"/>
      <c r="E74" s="250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</row>
    <row r="75" spans="1:23">
      <c r="A75" s="263" t="str">
        <f>'Price Out Rates'!C94</f>
        <v>Extras</v>
      </c>
      <c r="B75" s="263" t="s">
        <v>257</v>
      </c>
      <c r="C75" s="264">
        <f>'Price Out Rates'!M94</f>
        <v>4.38</v>
      </c>
      <c r="D75" s="264">
        <f>'Price Out Rates'!L94</f>
        <v>0.1603378943406609</v>
      </c>
      <c r="E75" s="264">
        <f t="shared" si="6"/>
        <v>4.5403378943406612</v>
      </c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</row>
    <row r="76" spans="1:23">
      <c r="A76" s="251"/>
      <c r="B76" s="251"/>
      <c r="C76" s="250"/>
      <c r="D76" s="250"/>
      <c r="E76" s="250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</row>
    <row r="77" spans="1:23">
      <c r="A77" s="247" t="s">
        <v>282</v>
      </c>
      <c r="B77" s="251"/>
      <c r="C77" s="250"/>
      <c r="D77" s="250"/>
      <c r="E77" s="250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</row>
    <row r="78" spans="1:23" s="270" customFormat="1">
      <c r="A78" s="269" t="str">
        <f>'Price Out Rates'!C47</f>
        <v>3 yd Pickup/Additional</v>
      </c>
      <c r="B78" s="269" t="s">
        <v>257</v>
      </c>
      <c r="C78" s="261">
        <f>'Price Out Rates'!M47</f>
        <v>234.38</v>
      </c>
      <c r="D78" s="261">
        <f>'Price Out Rates'!L47</f>
        <v>6.1352823687411719</v>
      </c>
      <c r="E78" s="261">
        <f>D78+C78</f>
        <v>240.51528236874117</v>
      </c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</row>
    <row r="79" spans="1:23">
      <c r="A79" s="263" t="str">
        <f>'Price Out Rates'!C95</f>
        <v>4 yd Pickup/Additional</v>
      </c>
      <c r="B79" s="263" t="s">
        <v>257</v>
      </c>
      <c r="C79" s="264">
        <f>'Price Out Rates'!M95</f>
        <v>378.78</v>
      </c>
      <c r="D79" s="264">
        <f>'Price Out Rates'!L95</f>
        <v>7.9508732311280674</v>
      </c>
      <c r="E79" s="264">
        <f t="shared" ref="E79:E84" si="7">D79+C79</f>
        <v>386.73087323112804</v>
      </c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</row>
    <row r="80" spans="1:23">
      <c r="A80" s="263" t="str">
        <f>'Price Out Rates'!C96</f>
        <v>6 yd Pickup/Additional</v>
      </c>
      <c r="B80" s="263" t="s">
        <v>257</v>
      </c>
      <c r="C80" s="264">
        <f>'Price Out Rates'!M96</f>
        <v>504.61</v>
      </c>
      <c r="D80" s="264">
        <f>'Price Out Rates'!L96</f>
        <v>10.893545174321375</v>
      </c>
      <c r="E80" s="264">
        <f t="shared" si="7"/>
        <v>515.5035451743214</v>
      </c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</row>
    <row r="81" spans="1:23">
      <c r="A81" s="251"/>
      <c r="B81" s="25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</row>
    <row r="82" spans="1:23">
      <c r="A82" s="263" t="str">
        <f>'Price Out Rates'!C97</f>
        <v>3 yd Special Pickup</v>
      </c>
      <c r="B82" s="263" t="s">
        <v>257</v>
      </c>
      <c r="C82" s="264">
        <f>'Price Out Rates'!M97</f>
        <v>254.59</v>
      </c>
      <c r="D82" s="264">
        <f>'Price Out Rates'!L97</f>
        <v>6.1352823687411719</v>
      </c>
      <c r="E82" s="264">
        <f t="shared" si="7"/>
        <v>260.72528236874115</v>
      </c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</row>
    <row r="83" spans="1:23">
      <c r="A83" s="263" t="str">
        <f>'Price Out Rates'!C98</f>
        <v>4 yd Special Pickup</v>
      </c>
      <c r="B83" s="263" t="s">
        <v>257</v>
      </c>
      <c r="C83" s="264">
        <f>'Price Out Rates'!M98</f>
        <v>392.25</v>
      </c>
      <c r="D83" s="264">
        <f>'Price Out Rates'!L98</f>
        <v>7.9508732311280674</v>
      </c>
      <c r="E83" s="264">
        <f t="shared" si="7"/>
        <v>400.20087323112807</v>
      </c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</row>
    <row r="84" spans="1:23">
      <c r="A84" s="263" t="str">
        <f>'Price Out Rates'!C99</f>
        <v>6 yd Special Pickup</v>
      </c>
      <c r="B84" s="263" t="s">
        <v>257</v>
      </c>
      <c r="C84" s="264">
        <f>'Price Out Rates'!M99</f>
        <v>525.49</v>
      </c>
      <c r="D84" s="264">
        <f>'Price Out Rates'!L99</f>
        <v>10.893545174321375</v>
      </c>
      <c r="E84" s="264">
        <f t="shared" si="7"/>
        <v>536.3835451743214</v>
      </c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</row>
    <row r="85" spans="1:23">
      <c r="A85" s="251"/>
      <c r="B85" s="251"/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</row>
    <row r="86" spans="1:23">
      <c r="A86" s="247" t="s">
        <v>258</v>
      </c>
      <c r="B86" s="251"/>
      <c r="C86" s="250"/>
      <c r="D86" s="250"/>
      <c r="E86" s="250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1:23">
      <c r="A87" s="251" t="s">
        <v>259</v>
      </c>
      <c r="B87" s="251" t="s">
        <v>260</v>
      </c>
      <c r="C87" s="250">
        <f>References!B47</f>
        <v>154.02000000000001</v>
      </c>
      <c r="D87" s="250">
        <f t="shared" ref="D87" si="8">E87-C87</f>
        <v>14.659999999999997</v>
      </c>
      <c r="E87" s="250">
        <f>References!B48</f>
        <v>168.68</v>
      </c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1:23">
      <c r="A88" s="251"/>
      <c r="B88" s="251"/>
      <c r="C88" s="250"/>
      <c r="D88" s="250"/>
      <c r="E88" s="250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1:23">
      <c r="A89" s="247" t="s">
        <v>108</v>
      </c>
      <c r="B89" s="251"/>
      <c r="C89" s="261"/>
      <c r="D89" s="250"/>
      <c r="E89" s="250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</row>
    <row r="90" spans="1:23">
      <c r="A90" s="251" t="str">
        <f>'Price Out Rates'!C16</f>
        <v>32 Gal Toter First Pickup/Additional</v>
      </c>
      <c r="B90" s="251" t="s">
        <v>257</v>
      </c>
      <c r="C90" s="250">
        <f>'Price Out Rates'!M16</f>
        <v>4.32</v>
      </c>
      <c r="D90" s="250">
        <f>'Price Out Rates'!L16</f>
        <v>0.13675879223174017</v>
      </c>
      <c r="E90" s="250">
        <f>C90+D90</f>
        <v>4.4567587922317404</v>
      </c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</row>
    <row r="91" spans="1:23">
      <c r="A91" s="251" t="str">
        <f>'Price Out Rates'!C17</f>
        <v>64 Gal Toter First Pickup/Additional</v>
      </c>
      <c r="B91" s="251" t="s">
        <v>257</v>
      </c>
      <c r="C91" s="250">
        <f>'Price Out Rates'!M17</f>
        <v>7.41</v>
      </c>
      <c r="D91" s="250">
        <f>'Price Out Rates'!L17</f>
        <v>0.22164355982385481</v>
      </c>
      <c r="E91" s="250">
        <f t="shared" ref="E91:E113" si="9">C91+D91</f>
        <v>7.6316435598238552</v>
      </c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</row>
    <row r="92" spans="1:23">
      <c r="A92" s="251" t="str">
        <f>'Price Out Rates'!C18</f>
        <v>96 Gal Toter First Pickup/Additional</v>
      </c>
      <c r="B92" s="251" t="s">
        <v>257</v>
      </c>
      <c r="C92" s="250">
        <f>'Price Out Rates'!M18</f>
        <v>9.7899999999999991</v>
      </c>
      <c r="D92" s="250">
        <f>'Price Out Rates'!L18</f>
        <v>0.32067578868132185</v>
      </c>
      <c r="E92" s="250">
        <f t="shared" si="9"/>
        <v>10.110675788681322</v>
      </c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</row>
    <row r="93" spans="1:23">
      <c r="A93" s="251" t="str">
        <f>'Price Out Rates'!C19</f>
        <v>1 yd First Pickup/Additional</v>
      </c>
      <c r="B93" s="251" t="s">
        <v>257</v>
      </c>
      <c r="C93" s="250">
        <f>'Price Out Rates'!M19</f>
        <v>19.850000000000001</v>
      </c>
      <c r="D93" s="250">
        <f>'Price Out Rates'!L19</f>
        <v>0.82526857381222518</v>
      </c>
      <c r="E93" s="250">
        <f t="shared" si="9"/>
        <v>20.675268573812225</v>
      </c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</row>
    <row r="94" spans="1:23">
      <c r="A94" s="251" t="str">
        <f>'Price Out Rates'!C20</f>
        <v>1.25 yd First Pickup/Additional</v>
      </c>
      <c r="B94" s="251" t="s">
        <v>257</v>
      </c>
      <c r="C94" s="250">
        <f>'Price Out Rates'!M20</f>
        <v>23.48</v>
      </c>
      <c r="D94" s="250">
        <f>'Price Out Rates'!L20</f>
        <v>1.0021118396291309</v>
      </c>
      <c r="E94" s="250">
        <f t="shared" si="9"/>
        <v>24.48211183962913</v>
      </c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</row>
    <row r="95" spans="1:23">
      <c r="A95" s="251" t="str">
        <f>'Price Out Rates'!C21</f>
        <v>2 yd First Pickup/Additional</v>
      </c>
      <c r="B95" s="251" t="s">
        <v>257</v>
      </c>
      <c r="C95" s="250">
        <f>'Price Out Rates'!M21</f>
        <v>36.22</v>
      </c>
      <c r="D95" s="250">
        <f>'Price Out Rates'!L21</f>
        <v>1.5279258166580629</v>
      </c>
      <c r="E95" s="250">
        <f t="shared" si="9"/>
        <v>37.747925816658061</v>
      </c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</row>
    <row r="96" spans="1:23">
      <c r="A96" s="251" t="str">
        <f>'Price Out Rates'!C22</f>
        <v>3 yd First Pickup/Additional</v>
      </c>
      <c r="B96" s="251" t="s">
        <v>257</v>
      </c>
      <c r="C96" s="250">
        <f>'Price Out Rates'!M22</f>
        <v>53.21</v>
      </c>
      <c r="D96" s="250">
        <f>'Price Out Rates'!L22</f>
        <v>2.2305830595039007</v>
      </c>
      <c r="E96" s="250">
        <f t="shared" si="9"/>
        <v>55.440583059503901</v>
      </c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</row>
    <row r="97" spans="1:23">
      <c r="A97" s="251" t="str">
        <f>'Price Out Rates'!C23</f>
        <v>4 yd First Pickup/Additional</v>
      </c>
      <c r="B97" s="251" t="s">
        <v>257</v>
      </c>
      <c r="C97" s="250">
        <f>'Price Out Rates'!M23</f>
        <v>68.209999999999994</v>
      </c>
      <c r="D97" s="250">
        <f>'Price Out Rates'!L23</f>
        <v>2.8907979185536807</v>
      </c>
      <c r="E97" s="250">
        <f t="shared" si="9"/>
        <v>71.100797918553681</v>
      </c>
      <c r="F97" s="261"/>
      <c r="G97" s="261"/>
      <c r="H97" s="261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</row>
    <row r="98" spans="1:23">
      <c r="A98" s="251" t="str">
        <f>'Price Out Rates'!C24</f>
        <v>6 yd First Pickup/Additional</v>
      </c>
      <c r="B98" s="251" t="s">
        <v>257</v>
      </c>
      <c r="C98" s="250">
        <f>'Price Out Rates'!M24</f>
        <v>101.42</v>
      </c>
      <c r="D98" s="250">
        <f>'Price Out Rates'!L24</f>
        <v>3.9612891542986812</v>
      </c>
      <c r="E98" s="250">
        <f t="shared" si="9"/>
        <v>105.38128915429868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</row>
    <row r="99" spans="1:23">
      <c r="A99" s="251" t="str">
        <f>'Price Out Rates'!C25</f>
        <v>8 yd First Pickup/Additional</v>
      </c>
      <c r="B99" s="251" t="s">
        <v>257</v>
      </c>
      <c r="C99" s="250">
        <f>'Price Out Rates'!M25</f>
        <v>131.19</v>
      </c>
      <c r="D99" s="250">
        <f>'Price Out Rates'!L25</f>
        <v>4.6215040133484617</v>
      </c>
      <c r="E99" s="250">
        <f t="shared" si="9"/>
        <v>135.81150401334847</v>
      </c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</row>
    <row r="100" spans="1:23">
      <c r="A100" s="263" t="str">
        <f>'Price Out Rates'!C100</f>
        <v>32 Gal Toter Special PIckup</v>
      </c>
      <c r="B100" s="263" t="s">
        <v>257</v>
      </c>
      <c r="C100" s="264">
        <f>'Price Out Rates'!M100</f>
        <v>7.95</v>
      </c>
      <c r="D100" s="264">
        <f>'Price Out Rates'!L100</f>
        <v>0.13675879223174017</v>
      </c>
      <c r="E100" s="264">
        <f t="shared" si="9"/>
        <v>8.0867587922317412</v>
      </c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</row>
    <row r="101" spans="1:23">
      <c r="A101" s="263" t="str">
        <f>'Price Out Rates'!C101</f>
        <v>64 Gal Toter Special PIckup</v>
      </c>
      <c r="B101" s="263" t="s">
        <v>257</v>
      </c>
      <c r="C101" s="264">
        <f>'Price Out Rates'!M101</f>
        <v>10.74</v>
      </c>
      <c r="D101" s="264">
        <f>'Price Out Rates'!L101</f>
        <v>0.22164355982385484</v>
      </c>
      <c r="E101" s="264">
        <f t="shared" si="9"/>
        <v>10.961643559823855</v>
      </c>
      <c r="F101" s="261"/>
      <c r="G101" s="261"/>
      <c r="H101" s="261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</row>
    <row r="102" spans="1:23">
      <c r="A102" s="263" t="str">
        <f>'Price Out Rates'!C102</f>
        <v>96 Gal Toter Special PIckup</v>
      </c>
      <c r="B102" s="263" t="s">
        <v>257</v>
      </c>
      <c r="C102" s="264">
        <f>'Price Out Rates'!M102</f>
        <v>12.16</v>
      </c>
      <c r="D102" s="264">
        <f>'Price Out Rates'!L102</f>
        <v>0.32067578868132179</v>
      </c>
      <c r="E102" s="264">
        <f t="shared" si="9"/>
        <v>12.480675788681323</v>
      </c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</row>
    <row r="103" spans="1:23">
      <c r="A103" s="251" t="str">
        <f>'Price Out Rates'!C26</f>
        <v>1 yd Special Pickup</v>
      </c>
      <c r="B103" s="251" t="s">
        <v>257</v>
      </c>
      <c r="C103" s="250">
        <f>'Price Out Rates'!M26</f>
        <v>23.64</v>
      </c>
      <c r="D103" s="250">
        <f>'Price Out Rates'!L26</f>
        <v>0.82526857381222518</v>
      </c>
      <c r="E103" s="250">
        <f t="shared" si="9"/>
        <v>24.465268573812224</v>
      </c>
      <c r="F103" s="261"/>
      <c r="G103" s="261"/>
      <c r="H103" s="261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</row>
    <row r="104" spans="1:23">
      <c r="A104" s="251" t="str">
        <f>'Price Out Rates'!C27</f>
        <v>1.25 yd Special PIckup</v>
      </c>
      <c r="B104" s="251" t="s">
        <v>257</v>
      </c>
      <c r="C104" s="250">
        <f>'Price Out Rates'!M27</f>
        <v>27.51</v>
      </c>
      <c r="D104" s="250">
        <f>'Price Out Rates'!L27</f>
        <v>1.0021118396291306</v>
      </c>
      <c r="E104" s="250">
        <f t="shared" si="9"/>
        <v>28.512111839629132</v>
      </c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</row>
    <row r="105" spans="1:23">
      <c r="A105" s="251" t="str">
        <f>'Price Out Rates'!C28</f>
        <v>2 yd Special Pickup</v>
      </c>
      <c r="B105" s="251" t="s">
        <v>257</v>
      </c>
      <c r="C105" s="250">
        <f>'Price Out Rates'!M28</f>
        <v>40.590000000000003</v>
      </c>
      <c r="D105" s="250">
        <f>'Price Out Rates'!L28</f>
        <v>1.5279258166580627</v>
      </c>
      <c r="E105" s="250">
        <f t="shared" si="9"/>
        <v>42.117925816658065</v>
      </c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</row>
    <row r="106" spans="1:23">
      <c r="A106" s="251" t="str">
        <f>'Price Out Rates'!C29</f>
        <v>3 yd  Special PIckup</v>
      </c>
      <c r="B106" s="251" t="s">
        <v>257</v>
      </c>
      <c r="C106" s="250">
        <f>'Price Out Rates'!M29</f>
        <v>56.92</v>
      </c>
      <c r="D106" s="250">
        <f>'Price Out Rates'!L29</f>
        <v>2.2305830595039002</v>
      </c>
      <c r="E106" s="250">
        <f t="shared" si="9"/>
        <v>59.150583059503901</v>
      </c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</row>
    <row r="107" spans="1:23">
      <c r="A107" s="251" t="str">
        <f>'Price Out Rates'!C30</f>
        <v>4 yd Special PIckup</v>
      </c>
      <c r="B107" s="251" t="s">
        <v>257</v>
      </c>
      <c r="C107" s="250">
        <f>'Price Out Rates'!M30</f>
        <v>74.44</v>
      </c>
      <c r="D107" s="250">
        <f>'Price Out Rates'!L30</f>
        <v>2.8907979185536807</v>
      </c>
      <c r="E107" s="250">
        <f t="shared" si="9"/>
        <v>77.330797918553685</v>
      </c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</row>
    <row r="108" spans="1:23">
      <c r="A108" s="251" t="str">
        <f>'Price Out Rates'!C31</f>
        <v>6 yd Special Pickup</v>
      </c>
      <c r="B108" s="251" t="s">
        <v>257</v>
      </c>
      <c r="C108" s="250">
        <f>'Price Out Rates'!M31</f>
        <v>110.15</v>
      </c>
      <c r="D108" s="250">
        <f>'Price Out Rates'!L31</f>
        <v>3.9612891542986817</v>
      </c>
      <c r="E108" s="250">
        <f t="shared" si="9"/>
        <v>114.11128915429869</v>
      </c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</row>
    <row r="109" spans="1:23">
      <c r="A109" s="263" t="str">
        <f>'Price Out Rates'!C103</f>
        <v>8 yd Special PIckup</v>
      </c>
      <c r="B109" s="263" t="s">
        <v>257</v>
      </c>
      <c r="C109" s="264">
        <f>'Price Out Rates'!M103</f>
        <v>132.84</v>
      </c>
      <c r="D109" s="264">
        <f>'Price Out Rates'!L103</f>
        <v>4.6215040133484617</v>
      </c>
      <c r="E109" s="264">
        <f t="shared" si="9"/>
        <v>137.46150401334847</v>
      </c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</row>
    <row r="110" spans="1:23">
      <c r="A110" s="263" t="str">
        <f>'Price Out Rates'!C87</f>
        <v>1 yd Temporary</v>
      </c>
      <c r="B110" s="263" t="s">
        <v>257</v>
      </c>
      <c r="C110" s="264">
        <f>'Price Out Rates'!M104</f>
        <v>29.91</v>
      </c>
      <c r="D110" s="264">
        <f>'Price Out Rates'!L104</f>
        <v>0.82526857381222518</v>
      </c>
      <c r="E110" s="264">
        <f t="shared" si="9"/>
        <v>30.735268573812224</v>
      </c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</row>
    <row r="111" spans="1:23">
      <c r="A111" s="263" t="str">
        <f>'Price Out Rates'!C88</f>
        <v>1.25 yd Temporary</v>
      </c>
      <c r="B111" s="263" t="s">
        <v>257</v>
      </c>
      <c r="C111" s="264">
        <f>'Price Out Rates'!M105</f>
        <v>31.75</v>
      </c>
      <c r="D111" s="264">
        <f>'Price Out Rates'!L105</f>
        <v>1.0021118396291306</v>
      </c>
      <c r="E111" s="264">
        <f t="shared" si="9"/>
        <v>32.75211183962913</v>
      </c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</row>
    <row r="112" spans="1:23">
      <c r="A112" s="251" t="str">
        <f>'Price Out Rates'!C32</f>
        <v>2 yd Temporary</v>
      </c>
      <c r="B112" s="251" t="s">
        <v>257</v>
      </c>
      <c r="C112" s="250">
        <f>'Price Out Rates'!M32</f>
        <v>39.82</v>
      </c>
      <c r="D112" s="250">
        <f>'Price Out Rates'!L32</f>
        <v>1.5279258166580627</v>
      </c>
      <c r="E112" s="250">
        <f t="shared" si="9"/>
        <v>41.347925816658062</v>
      </c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</row>
    <row r="113" spans="1:23">
      <c r="A113" s="263" t="str">
        <f>'Price Out Rates'!C106</f>
        <v>3 yd Temporary</v>
      </c>
      <c r="B113" s="263" t="s">
        <v>257</v>
      </c>
      <c r="C113" s="264">
        <f>'Price Out Rates'!M106</f>
        <v>54.83</v>
      </c>
      <c r="D113" s="264">
        <f>'Price Out Rates'!L106</f>
        <v>2.2305830595039002</v>
      </c>
      <c r="E113" s="264">
        <f t="shared" si="9"/>
        <v>57.060583059503898</v>
      </c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</row>
    <row r="114" spans="1:23">
      <c r="A114" s="263" t="str">
        <f>'Price Out Rates'!C107</f>
        <v>4 yd Temporary</v>
      </c>
      <c r="B114" s="263" t="s">
        <v>257</v>
      </c>
      <c r="C114" s="264">
        <f>'Price Out Rates'!M107</f>
        <v>71.75</v>
      </c>
      <c r="D114" s="264">
        <f>'Price Out Rates'!L107</f>
        <v>2.8907979185536807</v>
      </c>
      <c r="E114" s="264">
        <f t="shared" ref="E114:E115" si="10">C114+D114</f>
        <v>74.640797918553687</v>
      </c>
      <c r="F114" s="261"/>
      <c r="G114" s="251"/>
      <c r="H114" s="262"/>
      <c r="I114" s="262"/>
      <c r="J114" s="251"/>
      <c r="K114" s="267"/>
      <c r="L114" s="251"/>
    </row>
    <row r="115" spans="1:23">
      <c r="A115" s="251" t="str">
        <f>'Price Out Rates'!C33</f>
        <v>6 yd Temporary</v>
      </c>
      <c r="B115" s="251" t="s">
        <v>257</v>
      </c>
      <c r="C115" s="250">
        <f>'Price Out Rates'!M33</f>
        <v>106.65</v>
      </c>
      <c r="D115" s="250">
        <f>'Price Out Rates'!L33</f>
        <v>3.9612891542986817</v>
      </c>
      <c r="E115" s="250">
        <f t="shared" si="10"/>
        <v>110.61128915429869</v>
      </c>
      <c r="F115" s="261"/>
      <c r="G115" s="251"/>
      <c r="H115" s="262"/>
      <c r="I115" s="262"/>
      <c r="J115" s="251"/>
      <c r="K115" s="267"/>
      <c r="L115" s="251"/>
    </row>
    <row r="116" spans="1:23">
      <c r="A116" s="263" t="str">
        <f>'Price Out Rates'!C108</f>
        <v>8 yd Temporary</v>
      </c>
      <c r="B116" s="263" t="s">
        <v>257</v>
      </c>
      <c r="C116" s="264">
        <f>'Price Out Rates'!M108</f>
        <v>129.69999999999999</v>
      </c>
      <c r="D116" s="264">
        <f>'Price Out Rates'!L108</f>
        <v>4.6215040133484617</v>
      </c>
      <c r="E116" s="264">
        <f t="shared" ref="E116" si="11">C116+D116</f>
        <v>134.32150401334846</v>
      </c>
      <c r="F116" s="261"/>
      <c r="G116" s="251"/>
      <c r="H116" s="262"/>
      <c r="I116" s="262"/>
      <c r="J116" s="251"/>
      <c r="K116" s="267"/>
      <c r="L116" s="251"/>
    </row>
    <row r="117" spans="1:23">
      <c r="A117" s="251"/>
      <c r="B117" s="251"/>
      <c r="C117" s="250"/>
      <c r="D117" s="250"/>
      <c r="E117" s="250"/>
      <c r="F117" s="261"/>
      <c r="G117" s="251"/>
      <c r="H117" s="262"/>
      <c r="I117" s="262"/>
      <c r="J117" s="251"/>
      <c r="K117" s="267"/>
      <c r="L117" s="251"/>
    </row>
    <row r="118" spans="1:23">
      <c r="A118" s="247" t="s">
        <v>127</v>
      </c>
      <c r="B118" s="251"/>
      <c r="C118" s="250"/>
      <c r="D118" s="250"/>
      <c r="E118" s="261"/>
      <c r="F118" s="261"/>
      <c r="G118" s="251"/>
      <c r="H118" s="251"/>
      <c r="I118" s="262"/>
      <c r="J118" s="251"/>
      <c r="K118" s="251"/>
      <c r="L118" s="251"/>
    </row>
    <row r="119" spans="1:23">
      <c r="A119" s="269" t="s">
        <v>124</v>
      </c>
      <c r="B119" s="269" t="s">
        <v>257</v>
      </c>
      <c r="C119" s="261">
        <f>'Price Out Rates'!M34</f>
        <v>3.86</v>
      </c>
      <c r="D119" s="261">
        <f>'Price Out Rates'!L34</f>
        <v>0.1367587922317402</v>
      </c>
      <c r="E119" s="261">
        <f t="shared" ref="E119:E120" si="12">C119+D119</f>
        <v>3.99675879223174</v>
      </c>
      <c r="F119" s="250"/>
      <c r="G119" s="251"/>
      <c r="H119" s="262"/>
      <c r="I119" s="262"/>
      <c r="J119" s="251"/>
      <c r="K119" s="251"/>
      <c r="L119" s="251"/>
    </row>
    <row r="120" spans="1:23">
      <c r="A120" s="263" t="s">
        <v>125</v>
      </c>
      <c r="B120" s="263" t="s">
        <v>257</v>
      </c>
      <c r="C120" s="264">
        <f>'Price Out Rates'!M109</f>
        <v>7.95</v>
      </c>
      <c r="D120" s="264">
        <f>'Price Out Rates'!L109</f>
        <v>0.13675879223174017</v>
      </c>
      <c r="E120" s="264">
        <f t="shared" si="12"/>
        <v>8.0867587922317412</v>
      </c>
      <c r="F120" s="261"/>
      <c r="G120" s="251"/>
      <c r="H120" s="251"/>
      <c r="I120" s="251"/>
      <c r="J120" s="251"/>
      <c r="K120" s="251"/>
      <c r="L120" s="251"/>
    </row>
    <row r="121" spans="1:23">
      <c r="A121" s="251"/>
      <c r="B121" s="251"/>
      <c r="C121" s="261"/>
      <c r="D121" s="250"/>
      <c r="E121" s="261"/>
      <c r="F121" s="261"/>
      <c r="G121" s="251"/>
      <c r="H121" s="251"/>
      <c r="I121" s="251"/>
      <c r="J121" s="251"/>
      <c r="K121" s="251"/>
      <c r="L121" s="251"/>
    </row>
    <row r="122" spans="1:23">
      <c r="A122" s="251"/>
      <c r="B122" s="251"/>
      <c r="C122" s="261"/>
      <c r="D122" s="250"/>
      <c r="E122" s="261"/>
      <c r="F122" s="261"/>
      <c r="G122" s="251"/>
      <c r="H122" s="251"/>
      <c r="I122" s="251"/>
      <c r="J122" s="251"/>
      <c r="K122" s="251"/>
      <c r="L122" s="251"/>
    </row>
    <row r="123" spans="1:23">
      <c r="A123" s="247" t="s">
        <v>129</v>
      </c>
      <c r="B123" s="251"/>
      <c r="C123" s="250"/>
      <c r="D123" s="250"/>
      <c r="E123" s="261"/>
      <c r="F123" s="261"/>
      <c r="G123" s="251"/>
      <c r="H123" s="251"/>
      <c r="I123" s="262"/>
      <c r="J123" s="251"/>
      <c r="K123" s="251"/>
      <c r="L123" s="251"/>
    </row>
    <row r="124" spans="1:23">
      <c r="A124" s="263" t="str">
        <f>'Price Out Rates'!C110</f>
        <v>3 yd First Pickup/Additional</v>
      </c>
      <c r="B124" s="263" t="s">
        <v>257</v>
      </c>
      <c r="C124" s="264">
        <f>'Price Out Rates'!M110</f>
        <v>180.15</v>
      </c>
      <c r="D124" s="264">
        <f>'Price Out Rates'!L110</f>
        <v>6.1352823687411719</v>
      </c>
      <c r="E124" s="264">
        <f t="shared" ref="E124:E130" si="13">C124+D124</f>
        <v>186.28528236874118</v>
      </c>
      <c r="F124" s="250"/>
      <c r="G124" s="251"/>
      <c r="H124" s="262"/>
      <c r="I124" s="262"/>
      <c r="J124" s="251"/>
      <c r="K124" s="267"/>
      <c r="L124" s="251"/>
    </row>
    <row r="125" spans="1:23">
      <c r="A125" s="263" t="str">
        <f>'Price Out Rates'!C111</f>
        <v>4 yd First Pickup/Additional</v>
      </c>
      <c r="B125" s="263" t="s">
        <v>257</v>
      </c>
      <c r="C125" s="264">
        <f>'Price Out Rates'!M111</f>
        <v>307.58</v>
      </c>
      <c r="D125" s="264">
        <f>'Price Out Rates'!L111</f>
        <v>7.9508732311280674</v>
      </c>
      <c r="E125" s="264">
        <f t="shared" si="13"/>
        <v>315.53087323112806</v>
      </c>
      <c r="F125" s="250"/>
      <c r="G125" s="251"/>
      <c r="H125" s="262"/>
      <c r="I125" s="262"/>
      <c r="J125" s="251"/>
      <c r="K125" s="267"/>
      <c r="L125" s="251"/>
    </row>
    <row r="126" spans="1:23">
      <c r="A126" s="263" t="str">
        <f>'Price Out Rates'!C112</f>
        <v>6 yd First Pickup/Additional</v>
      </c>
      <c r="B126" s="263" t="s">
        <v>257</v>
      </c>
      <c r="C126" s="264">
        <f>'Price Out Rates'!M112</f>
        <v>395.56</v>
      </c>
      <c r="D126" s="264">
        <f>'Price Out Rates'!L112</f>
        <v>10.893545174321375</v>
      </c>
      <c r="E126" s="264">
        <f t="shared" si="13"/>
        <v>406.45354517432139</v>
      </c>
      <c r="F126" s="250"/>
      <c r="G126" s="251"/>
      <c r="H126" s="262"/>
      <c r="I126" s="262"/>
      <c r="J126" s="251"/>
      <c r="K126" s="267"/>
      <c r="L126" s="251"/>
    </row>
    <row r="127" spans="1:23">
      <c r="A127" s="251"/>
      <c r="B127" s="251"/>
      <c r="C127" s="261"/>
      <c r="D127" s="261"/>
      <c r="E127" s="261"/>
      <c r="F127" s="261"/>
      <c r="G127" s="251"/>
      <c r="H127" s="262"/>
      <c r="I127" s="262"/>
      <c r="J127" s="251"/>
      <c r="K127" s="267"/>
      <c r="L127" s="251"/>
    </row>
    <row r="128" spans="1:23">
      <c r="A128" s="263" t="str">
        <f>'Price Out Rates'!C113</f>
        <v>3 yd Special Pickup</v>
      </c>
      <c r="B128" s="263" t="s">
        <v>257</v>
      </c>
      <c r="C128" s="264">
        <f>'Price Out Rates'!M113</f>
        <v>183.07</v>
      </c>
      <c r="D128" s="264">
        <f>'Price Out Rates'!L113</f>
        <v>6.1352823687411719</v>
      </c>
      <c r="E128" s="264">
        <f t="shared" si="13"/>
        <v>189.20528236874117</v>
      </c>
      <c r="F128" s="250"/>
      <c r="G128" s="251"/>
      <c r="H128" s="262"/>
      <c r="I128" s="262"/>
      <c r="J128" s="251"/>
      <c r="K128" s="267"/>
      <c r="L128" s="251"/>
    </row>
    <row r="129" spans="1:12">
      <c r="A129" s="263" t="str">
        <f>'Price Out Rates'!C114</f>
        <v>4 yd Special Pickup</v>
      </c>
      <c r="B129" s="263" t="s">
        <v>257</v>
      </c>
      <c r="C129" s="264">
        <f>'Price Out Rates'!M114</f>
        <v>310.19</v>
      </c>
      <c r="D129" s="264">
        <f>'Price Out Rates'!L114</f>
        <v>7.9508732311280674</v>
      </c>
      <c r="E129" s="264">
        <f t="shared" si="13"/>
        <v>318.14087323112807</v>
      </c>
      <c r="F129" s="250"/>
      <c r="G129" s="251"/>
      <c r="H129" s="262"/>
      <c r="I129" s="262"/>
      <c r="J129" s="251"/>
      <c r="K129" s="267"/>
      <c r="L129" s="251"/>
    </row>
    <row r="130" spans="1:12">
      <c r="A130" s="263" t="str">
        <f>'Price Out Rates'!C115</f>
        <v>6 yd Special Pickup</v>
      </c>
      <c r="B130" s="263" t="s">
        <v>257</v>
      </c>
      <c r="C130" s="264">
        <f>'Price Out Rates'!M115</f>
        <v>397.96</v>
      </c>
      <c r="D130" s="264">
        <f>'Price Out Rates'!L115</f>
        <v>10.893545174321375</v>
      </c>
      <c r="E130" s="264">
        <f t="shared" si="13"/>
        <v>408.85354517432137</v>
      </c>
      <c r="F130" s="250"/>
      <c r="G130" s="251"/>
      <c r="H130" s="262"/>
      <c r="I130" s="262"/>
      <c r="J130" s="251"/>
      <c r="K130" s="267"/>
      <c r="L130" s="251"/>
    </row>
    <row r="131" spans="1:12">
      <c r="A131" s="251"/>
      <c r="B131" s="251"/>
      <c r="C131" s="250"/>
      <c r="D131" s="250"/>
      <c r="E131" s="261"/>
      <c r="F131" s="261"/>
      <c r="G131" s="251"/>
      <c r="H131" s="251"/>
      <c r="I131" s="251"/>
      <c r="J131" s="251"/>
      <c r="K131" s="251"/>
      <c r="L131" s="251"/>
    </row>
    <row r="132" spans="1:12">
      <c r="A132" s="251"/>
      <c r="B132" s="251" t="s">
        <v>284</v>
      </c>
      <c r="C132" s="250">
        <f>SUM(C8:C130)-C87-SUM('Price Out Rates'!M:M)</f>
        <v>-35.010000000000218</v>
      </c>
      <c r="D132" s="250">
        <f>SUM(D8:D130)-D87-SUM('Price Out Rates'!L:L)</f>
        <v>-1.1789551054460787</v>
      </c>
      <c r="E132" s="250">
        <f>SUM(E8:E130)-E87-SUM('Price Out Rates'!N:N)</f>
        <v>-36.444612989203961</v>
      </c>
      <c r="F132" s="261"/>
      <c r="G132" s="251"/>
      <c r="H132" s="251"/>
      <c r="I132" s="251"/>
      <c r="J132" s="251"/>
      <c r="K132" s="251"/>
      <c r="L132" s="251"/>
    </row>
    <row r="133" spans="1:12">
      <c r="A133" s="251"/>
      <c r="B133" s="251"/>
      <c r="C133" s="250"/>
      <c r="D133" s="250"/>
      <c r="E133" s="261"/>
      <c r="F133" s="261"/>
      <c r="G133" s="251"/>
      <c r="H133" s="251"/>
      <c r="I133" s="251"/>
      <c r="J133" s="251"/>
      <c r="K133" s="251"/>
      <c r="L133" s="251"/>
    </row>
    <row r="134" spans="1:12">
      <c r="A134" s="247"/>
      <c r="B134" s="251"/>
      <c r="C134" s="250"/>
      <c r="D134" s="250"/>
      <c r="E134" s="261"/>
      <c r="F134" s="261"/>
      <c r="G134" s="251"/>
      <c r="H134" s="251"/>
      <c r="I134" s="251"/>
      <c r="J134" s="251"/>
      <c r="K134" s="251"/>
      <c r="L134" s="251"/>
    </row>
    <row r="135" spans="1:12">
      <c r="A135" s="247"/>
      <c r="B135" s="251"/>
      <c r="C135" s="250"/>
      <c r="D135" s="250"/>
      <c r="E135" s="261"/>
      <c r="F135" s="261"/>
      <c r="G135" s="251"/>
      <c r="H135" s="251"/>
      <c r="I135" s="251"/>
      <c r="J135" s="251"/>
      <c r="K135" s="251"/>
      <c r="L135" s="251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8"/>
  <sheetViews>
    <sheetView tabSelected="1" zoomScale="80" zoomScaleNormal="80" workbookViewId="0">
      <pane xSplit="3" ySplit="1" topLeftCell="H17" activePane="bottomRight" state="frozen"/>
      <selection pane="topRight" activeCell="D1" sqref="D1"/>
      <selection pane="bottomLeft" activeCell="A6" sqref="A6"/>
      <selection pane="bottomRight" activeCell="N109" sqref="N109"/>
    </sheetView>
  </sheetViews>
  <sheetFormatPr defaultColWidth="8.85546875" defaultRowHeight="15"/>
  <cols>
    <col min="1" max="1" width="5.42578125" style="58" bestFit="1" customWidth="1"/>
    <col min="2" max="2" width="33.140625" style="62" customWidth="1"/>
    <col min="3" max="3" width="44" style="58" customWidth="1"/>
    <col min="4" max="4" width="23.7109375" style="59" customWidth="1"/>
    <col min="5" max="5" width="13.7109375" style="58" customWidth="1"/>
    <col min="6" max="6" width="16" style="58" customWidth="1"/>
    <col min="7" max="7" width="19.28515625" style="103" customWidth="1"/>
    <col min="8" max="8" width="25.7109375" style="58" customWidth="1"/>
    <col min="9" max="9" width="21.7109375" style="57" customWidth="1"/>
    <col min="10" max="10" width="12.42578125" style="58" customWidth="1"/>
    <col min="11" max="11" width="12.140625" style="58" customWidth="1"/>
    <col min="12" max="12" width="13.7109375" style="58" customWidth="1"/>
    <col min="13" max="13" width="21.7109375" style="58" customWidth="1"/>
    <col min="14" max="14" width="26.28515625" style="58" customWidth="1"/>
    <col min="15" max="15" width="32.7109375" style="58" customWidth="1"/>
    <col min="16" max="16" width="31.28515625" style="58" bestFit="1" customWidth="1"/>
    <col min="17" max="17" width="29" style="58" bestFit="1" customWidth="1"/>
    <col min="18" max="18" width="18.140625" style="58" bestFit="1" customWidth="1"/>
    <col min="19" max="20" width="21.5703125" style="58" bestFit="1" customWidth="1"/>
    <col min="21" max="16384" width="8.85546875" style="58"/>
  </cols>
  <sheetData>
    <row r="1" spans="1:20" ht="30">
      <c r="A1" s="50"/>
      <c r="B1" s="94" t="s">
        <v>16</v>
      </c>
      <c r="C1" s="77" t="s">
        <v>18</v>
      </c>
      <c r="D1" s="76" t="s">
        <v>41</v>
      </c>
      <c r="E1" s="94" t="s">
        <v>0</v>
      </c>
      <c r="F1" s="149" t="s">
        <v>1</v>
      </c>
      <c r="G1" s="99" t="s">
        <v>11</v>
      </c>
      <c r="H1" s="94" t="s">
        <v>35</v>
      </c>
      <c r="I1" s="95" t="s">
        <v>36</v>
      </c>
      <c r="J1" s="91" t="s">
        <v>10</v>
      </c>
      <c r="K1" s="76" t="s">
        <v>2</v>
      </c>
      <c r="L1" s="94" t="s">
        <v>43</v>
      </c>
      <c r="M1" s="76" t="s">
        <v>39</v>
      </c>
      <c r="N1" s="94" t="s">
        <v>37</v>
      </c>
      <c r="O1" s="94" t="s">
        <v>40</v>
      </c>
      <c r="P1" s="76" t="s">
        <v>38</v>
      </c>
      <c r="Q1" s="94" t="s">
        <v>42</v>
      </c>
      <c r="R1" s="94" t="s">
        <v>44</v>
      </c>
      <c r="S1" s="94" t="s">
        <v>46</v>
      </c>
      <c r="T1" s="94" t="s">
        <v>45</v>
      </c>
    </row>
    <row r="2" spans="1:20" s="60" customFormat="1" ht="14.45" customHeight="1">
      <c r="A2" s="317" t="s">
        <v>14</v>
      </c>
      <c r="B2" s="119" t="s">
        <v>118</v>
      </c>
      <c r="C2" s="106" t="s">
        <v>232</v>
      </c>
      <c r="D2" s="280">
        <f>667+D63</f>
        <v>1082</v>
      </c>
      <c r="E2" s="70">
        <f>References!$B$7</f>
        <v>4.333333333333333</v>
      </c>
      <c r="F2" s="110">
        <f>D2*E2*12</f>
        <v>56263.999999999993</v>
      </c>
      <c r="G2" s="277">
        <f>References!$B$13</f>
        <v>20</v>
      </c>
      <c r="H2" s="68">
        <f>G2*F2</f>
        <v>1125279.9999999998</v>
      </c>
      <c r="I2" s="47">
        <f t="shared" ref="I2:I10" si="0">$D$130*H2</f>
        <v>706149.46677780722</v>
      </c>
      <c r="J2" s="72">
        <f>(References!$C$49*I2)</f>
        <v>5176.075591481319</v>
      </c>
      <c r="K2" s="72">
        <f>J2/References!$G$52</f>
        <v>5306.6184042252598</v>
      </c>
      <c r="L2" s="67">
        <f>IFERROR(K2/F2*E2,0)</f>
        <v>0.40870443655462568</v>
      </c>
      <c r="M2" s="292">
        <v>9</v>
      </c>
      <c r="N2" s="67">
        <f>L2+M2</f>
        <v>9.4087044365546255</v>
      </c>
      <c r="O2" s="67">
        <f t="shared" ref="O2:O10" si="1">M2*D2*12</f>
        <v>116856</v>
      </c>
      <c r="P2" s="67">
        <f t="shared" ref="P2:P10" si="2">N2*D2*12</f>
        <v>122162.61840422526</v>
      </c>
      <c r="Q2" s="67">
        <f>O2-P2</f>
        <v>-5306.6184042252571</v>
      </c>
      <c r="R2" s="71">
        <f t="shared" ref="R2:R10" si="3">N2</f>
        <v>9.4087044365546255</v>
      </c>
      <c r="S2" s="71">
        <f t="shared" ref="S2:S10" si="4">R2*D2*12</f>
        <v>122162.61840422526</v>
      </c>
      <c r="T2" s="71">
        <f t="shared" ref="T2:T10" si="5">S2-O2</f>
        <v>5306.6184042252571</v>
      </c>
    </row>
    <row r="3" spans="1:20" s="60" customFormat="1">
      <c r="A3" s="318"/>
      <c r="B3" s="120" t="s">
        <v>118</v>
      </c>
      <c r="C3" s="107" t="s">
        <v>100</v>
      </c>
      <c r="D3" s="280">
        <f>2781+D64</f>
        <v>4498</v>
      </c>
      <c r="E3" s="69">
        <f>References!$B$7</f>
        <v>4.333333333333333</v>
      </c>
      <c r="F3" s="110">
        <f>D3*E3*12</f>
        <v>233896</v>
      </c>
      <c r="G3" s="277">
        <f>References!B14</f>
        <v>34</v>
      </c>
      <c r="H3" s="68">
        <f t="shared" ref="H3:H10" si="6">G3*F3</f>
        <v>7952464</v>
      </c>
      <c r="I3" s="47">
        <f t="shared" si="0"/>
        <v>4990427.460871703</v>
      </c>
      <c r="J3" s="67">
        <f>(References!$C$49*I3)</f>
        <v>36579.833288189533</v>
      </c>
      <c r="K3" s="67">
        <f>J3/References!$G$52</f>
        <v>37502.39213470323</v>
      </c>
      <c r="L3" s="67">
        <f t="shared" ref="L3:L10" si="7">IFERROR(K3/F3*E3,0)</f>
        <v>0.69479754214286393</v>
      </c>
      <c r="M3" s="292">
        <v>14.49</v>
      </c>
      <c r="N3" s="67">
        <f t="shared" ref="N3:N10" si="8">L3+M3</f>
        <v>15.184797542142864</v>
      </c>
      <c r="O3" s="67">
        <f t="shared" si="1"/>
        <v>782112.24</v>
      </c>
      <c r="P3" s="67">
        <f t="shared" si="2"/>
        <v>819614.63213470322</v>
      </c>
      <c r="Q3" s="67">
        <f t="shared" ref="Q3:Q10" si="9">O3-P3</f>
        <v>-37502.39213470323</v>
      </c>
      <c r="R3" s="71">
        <f t="shared" si="3"/>
        <v>15.184797542142864</v>
      </c>
      <c r="S3" s="71">
        <f t="shared" si="4"/>
        <v>819614.63213470322</v>
      </c>
      <c r="T3" s="71">
        <f t="shared" si="5"/>
        <v>37502.39213470323</v>
      </c>
    </row>
    <row r="4" spans="1:20" s="60" customFormat="1">
      <c r="A4" s="318"/>
      <c r="B4" s="120" t="s">
        <v>118</v>
      </c>
      <c r="C4" s="107" t="s">
        <v>101</v>
      </c>
      <c r="D4" s="280">
        <f>29+D65</f>
        <v>121</v>
      </c>
      <c r="E4" s="69">
        <f>References!$B$7</f>
        <v>4.333333333333333</v>
      </c>
      <c r="F4" s="110">
        <f t="shared" ref="F4:F10" si="10">D4*E4*12</f>
        <v>6291.9999999999991</v>
      </c>
      <c r="G4" s="277">
        <f>References!B15</f>
        <v>51</v>
      </c>
      <c r="H4" s="68">
        <f>G4*F4</f>
        <v>320891.99999999994</v>
      </c>
      <c r="I4" s="47">
        <f t="shared" si="0"/>
        <v>201370.07206496529</v>
      </c>
      <c r="J4" s="67">
        <f>(References!$C$49*I4)</f>
        <v>1476.0426282361934</v>
      </c>
      <c r="K4" s="67">
        <f>J4/References!$G$52</f>
        <v>1513.2690467871573</v>
      </c>
      <c r="L4" s="67">
        <f t="shared" si="7"/>
        <v>1.0421963132142957</v>
      </c>
      <c r="M4" s="293">
        <v>24.48</v>
      </c>
      <c r="N4" s="275">
        <f t="shared" si="8"/>
        <v>25.522196313214295</v>
      </c>
      <c r="O4" s="67">
        <f t="shared" si="1"/>
        <v>35544.959999999999</v>
      </c>
      <c r="P4" s="67">
        <f t="shared" si="2"/>
        <v>37058.229046787157</v>
      </c>
      <c r="Q4" s="67">
        <f t="shared" si="9"/>
        <v>-1513.269046787158</v>
      </c>
      <c r="R4" s="71">
        <f t="shared" si="3"/>
        <v>25.522196313214295</v>
      </c>
      <c r="S4" s="71">
        <f t="shared" si="4"/>
        <v>37058.229046787157</v>
      </c>
      <c r="T4" s="71">
        <f t="shared" si="5"/>
        <v>1513.269046787158</v>
      </c>
    </row>
    <row r="5" spans="1:20" s="60" customFormat="1">
      <c r="A5" s="318"/>
      <c r="B5" s="120" t="s">
        <v>118</v>
      </c>
      <c r="C5" s="107" t="s">
        <v>102</v>
      </c>
      <c r="D5" s="280">
        <f>2+D66</f>
        <v>4</v>
      </c>
      <c r="E5" s="69">
        <f>References!$B$7</f>
        <v>4.333333333333333</v>
      </c>
      <c r="F5" s="110">
        <f t="shared" si="10"/>
        <v>208</v>
      </c>
      <c r="G5" s="277">
        <f>References!B16</f>
        <v>77</v>
      </c>
      <c r="H5" s="68">
        <f t="shared" si="6"/>
        <v>16016</v>
      </c>
      <c r="I5" s="47">
        <f t="shared" si="0"/>
        <v>10050.556181495595</v>
      </c>
      <c r="J5" s="67">
        <f>(References!$C$49*I5)</f>
        <v>73.670576810362604</v>
      </c>
      <c r="K5" s="67">
        <f>J5/References!$G$52</f>
        <v>75.528579875294852</v>
      </c>
      <c r="L5" s="67">
        <f t="shared" si="7"/>
        <v>1.5735120807353093</v>
      </c>
      <c r="M5" s="292">
        <v>35.869999999999997</v>
      </c>
      <c r="N5" s="67">
        <f t="shared" si="8"/>
        <v>37.44351208073531</v>
      </c>
      <c r="O5" s="67">
        <f t="shared" si="1"/>
        <v>1721.7599999999998</v>
      </c>
      <c r="P5" s="67">
        <f t="shared" si="2"/>
        <v>1797.288579875295</v>
      </c>
      <c r="Q5" s="67">
        <f t="shared" si="9"/>
        <v>-75.528579875295236</v>
      </c>
      <c r="R5" s="71">
        <f t="shared" si="3"/>
        <v>37.44351208073531</v>
      </c>
      <c r="S5" s="71">
        <f t="shared" si="4"/>
        <v>1797.288579875295</v>
      </c>
      <c r="T5" s="71">
        <f t="shared" si="5"/>
        <v>75.528579875295236</v>
      </c>
    </row>
    <row r="6" spans="1:20" s="60" customFormat="1">
      <c r="A6" s="318"/>
      <c r="B6" s="120" t="s">
        <v>118</v>
      </c>
      <c r="C6" s="107" t="s">
        <v>103</v>
      </c>
      <c r="D6" s="280">
        <f>0+D67</f>
        <v>1</v>
      </c>
      <c r="E6" s="69">
        <f>References!$B$7</f>
        <v>4.333333333333333</v>
      </c>
      <c r="F6" s="110">
        <f t="shared" ref="F6" si="11">D6*E6*12</f>
        <v>52</v>
      </c>
      <c r="G6" s="277">
        <f>References!B17</f>
        <v>97</v>
      </c>
      <c r="H6" s="68">
        <f t="shared" ref="H6" si="12">G6*F6</f>
        <v>5044</v>
      </c>
      <c r="I6" s="47">
        <f t="shared" si="0"/>
        <v>3165.2725636528335</v>
      </c>
      <c r="J6" s="67">
        <f>(References!$C$49*I6)</f>
        <v>23.201447891575235</v>
      </c>
      <c r="K6" s="67">
        <f>J6/References!$G$52</f>
        <v>23.786598207479223</v>
      </c>
      <c r="L6" s="67">
        <f t="shared" si="7"/>
        <v>1.9822165172899351</v>
      </c>
      <c r="M6" s="293">
        <v>48</v>
      </c>
      <c r="N6" s="275">
        <f t="shared" ref="N6" si="13">L6+M6</f>
        <v>49.982216517289935</v>
      </c>
      <c r="O6" s="67">
        <f t="shared" si="1"/>
        <v>576</v>
      </c>
      <c r="P6" s="67">
        <f t="shared" si="2"/>
        <v>599.78659820747919</v>
      </c>
      <c r="Q6" s="67">
        <f t="shared" si="9"/>
        <v>-23.786598207479187</v>
      </c>
      <c r="R6" s="71">
        <f t="shared" si="3"/>
        <v>49.982216517289935</v>
      </c>
      <c r="S6" s="71">
        <f t="shared" si="4"/>
        <v>599.78659820747919</v>
      </c>
      <c r="T6" s="71">
        <f t="shared" si="5"/>
        <v>23.786598207479187</v>
      </c>
    </row>
    <row r="7" spans="1:20" s="60" customFormat="1">
      <c r="A7" s="318"/>
      <c r="B7" s="120" t="s">
        <v>118</v>
      </c>
      <c r="C7" s="107" t="s">
        <v>98</v>
      </c>
      <c r="D7" s="280">
        <f>13+D69</f>
        <v>40</v>
      </c>
      <c r="E7" s="69">
        <f>References!B9</f>
        <v>1</v>
      </c>
      <c r="F7" s="110">
        <f t="shared" si="10"/>
        <v>480</v>
      </c>
      <c r="G7" s="277">
        <f>References!$B$14</f>
        <v>34</v>
      </c>
      <c r="H7" s="68">
        <f t="shared" si="6"/>
        <v>16320</v>
      </c>
      <c r="I7" s="47">
        <f t="shared" si="0"/>
        <v>10241.325979146361</v>
      </c>
      <c r="J7" s="67">
        <f>(References!$C$49*I7)</f>
        <v>75.068919427142717</v>
      </c>
      <c r="K7" s="67">
        <f>J7/References!$G$52</f>
        <v>76.962189283517233</v>
      </c>
      <c r="L7" s="67">
        <f t="shared" si="7"/>
        <v>0.1603378943406609</v>
      </c>
      <c r="M7" s="292">
        <v>5.09</v>
      </c>
      <c r="N7" s="67">
        <f t="shared" si="8"/>
        <v>5.2503378943406611</v>
      </c>
      <c r="O7" s="67">
        <f t="shared" si="1"/>
        <v>2443.1999999999998</v>
      </c>
      <c r="P7" s="67">
        <f t="shared" si="2"/>
        <v>2520.1621892835174</v>
      </c>
      <c r="Q7" s="67">
        <f t="shared" si="9"/>
        <v>-76.962189283517546</v>
      </c>
      <c r="R7" s="71">
        <f t="shared" si="3"/>
        <v>5.2503378943406611</v>
      </c>
      <c r="S7" s="71">
        <f t="shared" si="4"/>
        <v>2520.1621892835174</v>
      </c>
      <c r="T7" s="71">
        <f t="shared" si="5"/>
        <v>76.962189283517546</v>
      </c>
    </row>
    <row r="8" spans="1:20" s="60" customFormat="1">
      <c r="A8" s="318"/>
      <c r="B8" s="120" t="s">
        <v>118</v>
      </c>
      <c r="C8" s="107" t="s">
        <v>104</v>
      </c>
      <c r="D8" s="280">
        <f>351+D70</f>
        <v>452</v>
      </c>
      <c r="E8" s="69">
        <f>References!$B$7</f>
        <v>4.333333333333333</v>
      </c>
      <c r="F8" s="110">
        <f t="shared" si="10"/>
        <v>23504</v>
      </c>
      <c r="G8" s="277">
        <f>References!$B$14</f>
        <v>34</v>
      </c>
      <c r="H8" s="68">
        <f t="shared" si="6"/>
        <v>799136</v>
      </c>
      <c r="I8" s="47">
        <f t="shared" si="0"/>
        <v>501483.59544553346</v>
      </c>
      <c r="J8" s="67">
        <f>(References!$C$49*I8)</f>
        <v>3675.8747546157547</v>
      </c>
      <c r="K8" s="67">
        <f>J8/References!$G$52</f>
        <v>3768.5818685828935</v>
      </c>
      <c r="L8" s="67">
        <f t="shared" si="7"/>
        <v>0.69479754214286382</v>
      </c>
      <c r="M8" s="292">
        <v>14.49</v>
      </c>
      <c r="N8" s="67">
        <f t="shared" si="8"/>
        <v>15.184797542142864</v>
      </c>
      <c r="O8" s="67">
        <f t="shared" si="1"/>
        <v>78593.760000000009</v>
      </c>
      <c r="P8" s="67">
        <f t="shared" si="2"/>
        <v>82362.341868582895</v>
      </c>
      <c r="Q8" s="67">
        <f t="shared" si="9"/>
        <v>-3768.5818685828854</v>
      </c>
      <c r="R8" s="71">
        <f t="shared" si="3"/>
        <v>15.184797542142864</v>
      </c>
      <c r="S8" s="71">
        <f t="shared" si="4"/>
        <v>82362.341868582895</v>
      </c>
      <c r="T8" s="71">
        <f t="shared" si="5"/>
        <v>3768.5818685828854</v>
      </c>
    </row>
    <row r="9" spans="1:20" s="60" customFormat="1">
      <c r="A9" s="318"/>
      <c r="B9" s="120" t="s">
        <v>118</v>
      </c>
      <c r="C9" s="107" t="s">
        <v>132</v>
      </c>
      <c r="D9" s="280">
        <f>2810+D71</f>
        <v>3676</v>
      </c>
      <c r="E9" s="69">
        <f>References!$B$7</f>
        <v>4.333333333333333</v>
      </c>
      <c r="F9" s="110">
        <f t="shared" si="10"/>
        <v>191152</v>
      </c>
      <c r="G9" s="277">
        <f>References!B21</f>
        <v>47</v>
      </c>
      <c r="H9" s="68">
        <f t="shared" si="6"/>
        <v>8984144</v>
      </c>
      <c r="I9" s="47">
        <f t="shared" si="0"/>
        <v>5637839.9110044055</v>
      </c>
      <c r="J9" s="67">
        <f>(References!$C$49*I9)</f>
        <v>41325.366547662234</v>
      </c>
      <c r="K9" s="67">
        <f>J9/References!$G$52</f>
        <v>42367.609747449489</v>
      </c>
      <c r="L9" s="67">
        <f t="shared" si="7"/>
        <v>0.96045542590337063</v>
      </c>
      <c r="M9" s="293">
        <v>24.48</v>
      </c>
      <c r="N9" s="275">
        <f t="shared" si="8"/>
        <v>25.44045542590337</v>
      </c>
      <c r="O9" s="67">
        <f t="shared" si="1"/>
        <v>1079861.76</v>
      </c>
      <c r="P9" s="67">
        <f t="shared" si="2"/>
        <v>1122229.3697474494</v>
      </c>
      <c r="Q9" s="67">
        <f t="shared" si="9"/>
        <v>-42367.609747449402</v>
      </c>
      <c r="R9" s="71">
        <f t="shared" si="3"/>
        <v>25.44045542590337</v>
      </c>
      <c r="S9" s="71">
        <f t="shared" si="4"/>
        <v>1122229.3697474494</v>
      </c>
      <c r="T9" s="71">
        <f t="shared" si="5"/>
        <v>42367.609747449402</v>
      </c>
    </row>
    <row r="10" spans="1:20" s="60" customFormat="1">
      <c r="A10" s="318"/>
      <c r="B10" s="120" t="s">
        <v>118</v>
      </c>
      <c r="C10" s="107" t="s">
        <v>130</v>
      </c>
      <c r="D10" s="280">
        <f>1042+D72</f>
        <v>1167</v>
      </c>
      <c r="E10" s="69">
        <f>References!$B$7</f>
        <v>4.333333333333333</v>
      </c>
      <c r="F10" s="110">
        <f t="shared" si="10"/>
        <v>60684</v>
      </c>
      <c r="G10" s="277">
        <f>References!B22</f>
        <v>68</v>
      </c>
      <c r="H10" s="68">
        <f t="shared" si="6"/>
        <v>4126512</v>
      </c>
      <c r="I10" s="47">
        <f t="shared" si="0"/>
        <v>2589519.2738271574</v>
      </c>
      <c r="J10" s="67">
        <f>(References!$C$49*I10)</f>
        <v>18981.176277153038</v>
      </c>
      <c r="K10" s="67">
        <f>J10/References!$G$52</f>
        <v>19459.889560337335</v>
      </c>
      <c r="L10" s="67">
        <f t="shared" si="7"/>
        <v>1.3895950842857279</v>
      </c>
      <c r="M10" s="293">
        <v>35.43</v>
      </c>
      <c r="N10" s="275">
        <f t="shared" si="8"/>
        <v>36.81959508428573</v>
      </c>
      <c r="O10" s="67">
        <f t="shared" si="1"/>
        <v>496161.72</v>
      </c>
      <c r="P10" s="67">
        <f t="shared" si="2"/>
        <v>515621.60956033738</v>
      </c>
      <c r="Q10" s="67">
        <f t="shared" si="9"/>
        <v>-19459.889560337411</v>
      </c>
      <c r="R10" s="71">
        <f t="shared" si="3"/>
        <v>36.81959508428573</v>
      </c>
      <c r="S10" s="71">
        <f t="shared" si="4"/>
        <v>515621.60956033738</v>
      </c>
      <c r="T10" s="71">
        <f t="shared" si="5"/>
        <v>19459.889560337411</v>
      </c>
    </row>
    <row r="11" spans="1:20" s="60" customFormat="1">
      <c r="A11" s="318"/>
      <c r="B11" s="97"/>
      <c r="C11" s="107"/>
      <c r="D11" s="109"/>
      <c r="E11" s="69"/>
      <c r="F11" s="113"/>
      <c r="G11" s="111"/>
      <c r="H11" s="68"/>
      <c r="I11" s="47"/>
      <c r="J11" s="67"/>
      <c r="K11" s="67"/>
      <c r="L11" s="67"/>
      <c r="M11" s="112"/>
      <c r="N11" s="67"/>
      <c r="O11" s="67"/>
      <c r="P11" s="67"/>
      <c r="Q11" s="67"/>
      <c r="R11" s="71"/>
      <c r="S11" s="71"/>
      <c r="T11" s="71"/>
    </row>
    <row r="12" spans="1:20" s="60" customFormat="1">
      <c r="A12" s="318"/>
      <c r="B12" s="97"/>
      <c r="C12" s="107"/>
      <c r="D12" s="109"/>
      <c r="E12" s="69"/>
      <c r="F12" s="68"/>
      <c r="G12" s="111"/>
      <c r="H12" s="68"/>
      <c r="I12" s="47"/>
      <c r="J12" s="67"/>
      <c r="K12" s="67"/>
      <c r="L12" s="67"/>
      <c r="M12" s="112"/>
      <c r="N12" s="67"/>
      <c r="O12" s="67"/>
      <c r="P12" s="67"/>
      <c r="Q12" s="67"/>
      <c r="R12" s="71"/>
      <c r="S12" s="71"/>
      <c r="T12" s="71"/>
    </row>
    <row r="13" spans="1:20" s="60" customFormat="1">
      <c r="A13" s="51"/>
      <c r="B13" s="78"/>
      <c r="C13" s="52" t="s">
        <v>17</v>
      </c>
      <c r="D13" s="53">
        <f>SUM(D2:D12)</f>
        <v>11041</v>
      </c>
      <c r="E13" s="54"/>
      <c r="F13" s="53">
        <f>SUM(F2:F12)</f>
        <v>572532</v>
      </c>
      <c r="G13" s="100"/>
      <c r="H13" s="53">
        <f>SUM(H2:H12)</f>
        <v>23345808</v>
      </c>
      <c r="I13" s="53">
        <f>SUM(I2:I12)</f>
        <v>14650246.934715867</v>
      </c>
      <c r="J13" s="74"/>
      <c r="K13" s="74"/>
      <c r="L13" s="74"/>
      <c r="M13" s="74"/>
      <c r="N13" s="74"/>
      <c r="O13" s="53">
        <f>SUM(O2:O12)</f>
        <v>2593871.3999999994</v>
      </c>
      <c r="P13" s="118">
        <f>SUM(P2:P12)</f>
        <v>2703966.0381294512</v>
      </c>
      <c r="Q13" s="118">
        <f>SUM(Q2:Q12)</f>
        <v>-110094.63812945163</v>
      </c>
      <c r="R13" s="118"/>
      <c r="S13" s="118">
        <f>SUM(S2:S12)</f>
        <v>2703966.0381294512</v>
      </c>
      <c r="T13" s="118">
        <f>SUM(T2:T12)</f>
        <v>110094.63812945163</v>
      </c>
    </row>
    <row r="14" spans="1:20">
      <c r="J14" s="56"/>
      <c r="P14" s="61"/>
      <c r="T14" s="30"/>
    </row>
    <row r="15" spans="1:20" s="60" customFormat="1" ht="30">
      <c r="A15" s="154"/>
      <c r="B15" s="155"/>
      <c r="C15" s="156"/>
      <c r="D15" s="162" t="s">
        <v>231</v>
      </c>
      <c r="E15" s="161" t="s">
        <v>244</v>
      </c>
      <c r="F15" s="149" t="s">
        <v>1</v>
      </c>
      <c r="G15" s="158"/>
      <c r="H15" s="157"/>
      <c r="I15" s="157"/>
      <c r="J15" s="159"/>
      <c r="K15" s="159"/>
      <c r="L15" s="159"/>
      <c r="M15" s="159"/>
      <c r="N15" s="159"/>
      <c r="O15" s="157"/>
      <c r="P15" s="160"/>
      <c r="Q15" s="160"/>
      <c r="R15" s="160"/>
      <c r="S15" s="160"/>
      <c r="T15" s="160"/>
    </row>
    <row r="16" spans="1:20" s="60" customFormat="1" ht="14.45" customHeight="1">
      <c r="A16" s="317" t="s">
        <v>15</v>
      </c>
      <c r="B16" s="108" t="s">
        <v>108</v>
      </c>
      <c r="C16" s="114" t="s">
        <v>262</v>
      </c>
      <c r="D16" s="290">
        <v>22</v>
      </c>
      <c r="E16" s="69">
        <v>12</v>
      </c>
      <c r="F16" s="110">
        <f>D16*E16</f>
        <v>264</v>
      </c>
      <c r="G16" s="277">
        <f>References!B26</f>
        <v>29</v>
      </c>
      <c r="H16" s="68">
        <f t="shared" ref="H16:H34" si="14">G16*F16</f>
        <v>7656</v>
      </c>
      <c r="I16" s="47">
        <f t="shared" ref="I16:I34" si="15">$D$130*H16</f>
        <v>4804.3867460995425</v>
      </c>
      <c r="J16" s="67">
        <f>(References!$C$49*I16)</f>
        <v>35.216154848909596</v>
      </c>
      <c r="K16" s="67">
        <f>J16/References!$G$52</f>
        <v>36.104321149179405</v>
      </c>
      <c r="L16" s="67">
        <f>IFERROR(K16/F16,0)</f>
        <v>0.13675879223174017</v>
      </c>
      <c r="M16" s="294">
        <v>4.32</v>
      </c>
      <c r="N16" s="67">
        <f t="shared" ref="N16:N17" si="16">L16+M16</f>
        <v>4.4567587922317404</v>
      </c>
      <c r="O16" s="67">
        <f t="shared" ref="O16:O33" si="17">M16*F16</f>
        <v>1140.48</v>
      </c>
      <c r="P16" s="67">
        <f t="shared" ref="P16:P33" si="18">N16*F16</f>
        <v>1176.5843211491795</v>
      </c>
      <c r="Q16" s="67">
        <f t="shared" ref="Q16:Q33" si="19">O16-P16</f>
        <v>-36.104321149179441</v>
      </c>
      <c r="R16" s="71">
        <f t="shared" ref="R16:R33" si="20">N16</f>
        <v>4.4567587922317404</v>
      </c>
      <c r="S16" s="71">
        <f t="shared" ref="S16:S33" si="21">R16*F16</f>
        <v>1176.5843211491795</v>
      </c>
      <c r="T16" s="71">
        <f t="shared" ref="T16:T33" si="22">S16-O16</f>
        <v>36.104321149179441</v>
      </c>
    </row>
    <row r="17" spans="1:20" s="60" customFormat="1">
      <c r="A17" s="318"/>
      <c r="B17" s="108" t="s">
        <v>108</v>
      </c>
      <c r="C17" s="114" t="s">
        <v>280</v>
      </c>
      <c r="D17" s="290">
        <v>39</v>
      </c>
      <c r="E17" s="69">
        <v>12</v>
      </c>
      <c r="F17" s="110">
        <f t="shared" ref="F17:F34" si="23">D17*E17</f>
        <v>468</v>
      </c>
      <c r="G17" s="277">
        <f>References!B21</f>
        <v>47</v>
      </c>
      <c r="H17" s="68">
        <f t="shared" si="14"/>
        <v>21996</v>
      </c>
      <c r="I17" s="47">
        <f t="shared" si="15"/>
        <v>13803.198911599471</v>
      </c>
      <c r="J17" s="67">
        <f>(References!$C$49*I17)</f>
        <v>101.17744802202398</v>
      </c>
      <c r="K17" s="67">
        <f>J17/References!$G$52</f>
        <v>103.72918599756404</v>
      </c>
      <c r="L17" s="67">
        <f t="shared" ref="L17:L33" si="24">IFERROR(K17/F17,0)</f>
        <v>0.22164355982385481</v>
      </c>
      <c r="M17" s="294">
        <v>7.41</v>
      </c>
      <c r="N17" s="67">
        <f t="shared" si="16"/>
        <v>7.6316435598238552</v>
      </c>
      <c r="O17" s="67">
        <f t="shared" si="17"/>
        <v>3467.88</v>
      </c>
      <c r="P17" s="67">
        <f t="shared" si="18"/>
        <v>3571.6091859975641</v>
      </c>
      <c r="Q17" s="67">
        <f t="shared" si="19"/>
        <v>-103.72918599756395</v>
      </c>
      <c r="R17" s="71">
        <f t="shared" si="20"/>
        <v>7.6316435598238552</v>
      </c>
      <c r="S17" s="71">
        <f t="shared" si="21"/>
        <v>3571.6091859975641</v>
      </c>
      <c r="T17" s="71">
        <f t="shared" si="22"/>
        <v>103.72918599756395</v>
      </c>
    </row>
    <row r="18" spans="1:20" s="60" customFormat="1">
      <c r="A18" s="318"/>
      <c r="B18" s="108" t="s">
        <v>108</v>
      </c>
      <c r="C18" s="114" t="s">
        <v>263</v>
      </c>
      <c r="D18" s="290">
        <v>230</v>
      </c>
      <c r="E18" s="69">
        <v>12</v>
      </c>
      <c r="F18" s="110">
        <f t="shared" si="23"/>
        <v>2760</v>
      </c>
      <c r="G18" s="277">
        <f>References!B22</f>
        <v>68</v>
      </c>
      <c r="H18" s="68">
        <f t="shared" si="14"/>
        <v>187680</v>
      </c>
      <c r="I18" s="47">
        <f t="shared" si="15"/>
        <v>117775.24876018315</v>
      </c>
      <c r="J18" s="67">
        <f>(References!$C$49*I18)</f>
        <v>863.29257341214122</v>
      </c>
      <c r="K18" s="67">
        <f>J18/References!$G$52</f>
        <v>885.06517676044825</v>
      </c>
      <c r="L18" s="67">
        <f t="shared" si="24"/>
        <v>0.32067578868132185</v>
      </c>
      <c r="M18" s="294">
        <v>9.7899999999999991</v>
      </c>
      <c r="N18" s="67">
        <f t="shared" ref="N18:N34" si="25">L18+M18</f>
        <v>10.110675788681322</v>
      </c>
      <c r="O18" s="67">
        <f t="shared" si="17"/>
        <v>27020.399999999998</v>
      </c>
      <c r="P18" s="67">
        <f t="shared" si="18"/>
        <v>27905.465176760448</v>
      </c>
      <c r="Q18" s="67">
        <f t="shared" si="19"/>
        <v>-885.06517676045041</v>
      </c>
      <c r="R18" s="71">
        <f t="shared" si="20"/>
        <v>10.110675788681322</v>
      </c>
      <c r="S18" s="71">
        <f t="shared" si="21"/>
        <v>27905.465176760448</v>
      </c>
      <c r="T18" s="71">
        <f t="shared" si="22"/>
        <v>885.06517676045041</v>
      </c>
    </row>
    <row r="19" spans="1:20" s="60" customFormat="1">
      <c r="A19" s="318"/>
      <c r="B19" s="108" t="s">
        <v>108</v>
      </c>
      <c r="C19" s="114" t="s">
        <v>270</v>
      </c>
      <c r="D19" s="290">
        <v>126</v>
      </c>
      <c r="E19" s="69">
        <v>12</v>
      </c>
      <c r="F19" s="110">
        <f t="shared" si="23"/>
        <v>1512</v>
      </c>
      <c r="G19" s="277">
        <f>References!$B$27</f>
        <v>175</v>
      </c>
      <c r="H19" s="68">
        <f t="shared" si="14"/>
        <v>264600</v>
      </c>
      <c r="I19" s="47">
        <f t="shared" si="15"/>
        <v>166045.02782365974</v>
      </c>
      <c r="J19" s="67">
        <f>(References!$C$49*I19)</f>
        <v>1217.1100539474241</v>
      </c>
      <c r="K19" s="67">
        <f>J19/References!$G$52</f>
        <v>1247.8060836040845</v>
      </c>
      <c r="L19" s="67">
        <f t="shared" si="24"/>
        <v>0.82526857381222518</v>
      </c>
      <c r="M19" s="294">
        <v>19.850000000000001</v>
      </c>
      <c r="N19" s="67">
        <f t="shared" si="25"/>
        <v>20.675268573812225</v>
      </c>
      <c r="O19" s="67">
        <f t="shared" si="17"/>
        <v>30013.200000000001</v>
      </c>
      <c r="P19" s="67">
        <f t="shared" si="18"/>
        <v>31261.006083604083</v>
      </c>
      <c r="Q19" s="67">
        <f t="shared" si="19"/>
        <v>-1247.8060836040822</v>
      </c>
      <c r="R19" s="71">
        <f t="shared" si="20"/>
        <v>20.675268573812225</v>
      </c>
      <c r="S19" s="71">
        <f t="shared" si="21"/>
        <v>31261.006083604083</v>
      </c>
      <c r="T19" s="71">
        <f t="shared" si="22"/>
        <v>1247.8060836040822</v>
      </c>
    </row>
    <row r="20" spans="1:20" s="60" customFormat="1">
      <c r="A20" s="318"/>
      <c r="B20" s="108" t="s">
        <v>108</v>
      </c>
      <c r="C20" s="114" t="s">
        <v>264</v>
      </c>
      <c r="D20" s="290">
        <v>56</v>
      </c>
      <c r="E20" s="69">
        <v>12</v>
      </c>
      <c r="F20" s="110">
        <f t="shared" ref="F20:F25" si="26">D20*E20</f>
        <v>672</v>
      </c>
      <c r="G20" s="116">
        <f>((References!$B$28-References!$B$27)/2)+References!$B$27</f>
        <v>212.5</v>
      </c>
      <c r="H20" s="68">
        <f t="shared" ref="H20:H25" si="27">G20*F20</f>
        <v>142800</v>
      </c>
      <c r="I20" s="47">
        <f t="shared" si="15"/>
        <v>89611.602317530662</v>
      </c>
      <c r="J20" s="67">
        <f>(References!$C$49*I20)</f>
        <v>656.85304498749883</v>
      </c>
      <c r="K20" s="67">
        <f>J20/References!$G$52</f>
        <v>673.41915623077591</v>
      </c>
      <c r="L20" s="67">
        <f t="shared" ref="L20:L25" si="28">IFERROR(K20/F20,0)</f>
        <v>1.0021118396291309</v>
      </c>
      <c r="M20" s="294">
        <v>23.48</v>
      </c>
      <c r="N20" s="67">
        <f t="shared" ref="N20:N25" si="29">L20+M20</f>
        <v>24.48211183962913</v>
      </c>
      <c r="O20" s="67">
        <f t="shared" ref="O20:O25" si="30">M20*F20</f>
        <v>15778.56</v>
      </c>
      <c r="P20" s="67">
        <f t="shared" ref="P20:P25" si="31">N20*F20</f>
        <v>16451.979156230776</v>
      </c>
      <c r="Q20" s="67">
        <f t="shared" ref="Q20:Q25" si="32">O20-P20</f>
        <v>-673.41915623077693</v>
      </c>
      <c r="R20" s="71">
        <f t="shared" ref="R20:R25" si="33">N20</f>
        <v>24.48211183962913</v>
      </c>
      <c r="S20" s="71">
        <f t="shared" ref="S20:S25" si="34">R20*F20</f>
        <v>16451.979156230776</v>
      </c>
      <c r="T20" s="71">
        <f t="shared" ref="T20:T25" si="35">S20-O20</f>
        <v>673.41915623077693</v>
      </c>
    </row>
    <row r="21" spans="1:20" s="60" customFormat="1">
      <c r="A21" s="318"/>
      <c r="B21" s="108" t="s">
        <v>108</v>
      </c>
      <c r="C21" s="114" t="s">
        <v>265</v>
      </c>
      <c r="D21" s="290">
        <v>165</v>
      </c>
      <c r="E21" s="69">
        <v>12</v>
      </c>
      <c r="F21" s="110">
        <f t="shared" si="26"/>
        <v>1980</v>
      </c>
      <c r="G21" s="277">
        <f>References!$B$29</f>
        <v>324</v>
      </c>
      <c r="H21" s="68">
        <f t="shared" si="27"/>
        <v>641520</v>
      </c>
      <c r="I21" s="47">
        <f t="shared" si="15"/>
        <v>402574.47562144446</v>
      </c>
      <c r="J21" s="67">
        <f>(References!$C$49*I21)</f>
        <v>2950.8709063051838</v>
      </c>
      <c r="K21" s="67">
        <f>J21/References!$G$52</f>
        <v>3025.2931169829644</v>
      </c>
      <c r="L21" s="67">
        <f t="shared" si="28"/>
        <v>1.5279258166580629</v>
      </c>
      <c r="M21" s="275">
        <v>36.22</v>
      </c>
      <c r="N21" s="275">
        <f t="shared" si="29"/>
        <v>37.747925816658061</v>
      </c>
      <c r="O21" s="67">
        <f t="shared" si="30"/>
        <v>71715.599999999991</v>
      </c>
      <c r="P21" s="67">
        <f t="shared" si="31"/>
        <v>74740.893116982959</v>
      </c>
      <c r="Q21" s="67">
        <f t="shared" si="32"/>
        <v>-3025.2931169829681</v>
      </c>
      <c r="R21" s="71">
        <f t="shared" si="33"/>
        <v>37.747925816658061</v>
      </c>
      <c r="S21" s="71">
        <f t="shared" si="34"/>
        <v>74740.893116982959</v>
      </c>
      <c r="T21" s="71">
        <f t="shared" si="35"/>
        <v>3025.2931169829681</v>
      </c>
    </row>
    <row r="22" spans="1:20" s="60" customFormat="1">
      <c r="A22" s="318"/>
      <c r="B22" s="108" t="s">
        <v>108</v>
      </c>
      <c r="C22" s="114" t="s">
        <v>266</v>
      </c>
      <c r="D22" s="290">
        <v>104</v>
      </c>
      <c r="E22" s="69">
        <v>12</v>
      </c>
      <c r="F22" s="110">
        <f t="shared" si="26"/>
        <v>1248</v>
      </c>
      <c r="G22" s="277">
        <f>References!$B$30</f>
        <v>473</v>
      </c>
      <c r="H22" s="68">
        <f t="shared" si="27"/>
        <v>590304</v>
      </c>
      <c r="I22" s="47">
        <f t="shared" si="15"/>
        <v>370434.78497512336</v>
      </c>
      <c r="J22" s="67">
        <f>(References!$C$49*I22)</f>
        <v>2715.2869738676504</v>
      </c>
      <c r="K22" s="67">
        <f>J22/References!$G$52</f>
        <v>2783.7676582608678</v>
      </c>
      <c r="L22" s="67">
        <f t="shared" si="28"/>
        <v>2.2305830595039007</v>
      </c>
      <c r="M22" s="275">
        <v>53.21</v>
      </c>
      <c r="N22" s="275">
        <f t="shared" si="29"/>
        <v>55.440583059503901</v>
      </c>
      <c r="O22" s="67">
        <f t="shared" si="30"/>
        <v>66406.080000000002</v>
      </c>
      <c r="P22" s="67">
        <f t="shared" si="31"/>
        <v>69189.847658260871</v>
      </c>
      <c r="Q22" s="67">
        <f t="shared" si="32"/>
        <v>-2783.7676582608692</v>
      </c>
      <c r="R22" s="71">
        <f t="shared" si="33"/>
        <v>55.440583059503901</v>
      </c>
      <c r="S22" s="71">
        <f t="shared" si="34"/>
        <v>69189.847658260871</v>
      </c>
      <c r="T22" s="71">
        <f t="shared" si="35"/>
        <v>2783.7676582608692</v>
      </c>
    </row>
    <row r="23" spans="1:20" s="60" customFormat="1" ht="15" customHeight="1">
      <c r="A23" s="318"/>
      <c r="B23" s="108" t="s">
        <v>108</v>
      </c>
      <c r="C23" s="114" t="s">
        <v>267</v>
      </c>
      <c r="D23" s="290">
        <v>243</v>
      </c>
      <c r="E23" s="69">
        <v>12</v>
      </c>
      <c r="F23" s="110">
        <f t="shared" si="26"/>
        <v>2916</v>
      </c>
      <c r="G23" s="277">
        <f>References!$B$31</f>
        <v>613</v>
      </c>
      <c r="H23" s="68">
        <f t="shared" si="27"/>
        <v>1787508</v>
      </c>
      <c r="I23" s="47">
        <f t="shared" si="15"/>
        <v>1121718.879799752</v>
      </c>
      <c r="J23" s="67">
        <f>(References!$C$49*I23)</f>
        <v>8222.1993889321711</v>
      </c>
      <c r="K23" s="67">
        <f>J23/References!$G$52</f>
        <v>8429.5667305025327</v>
      </c>
      <c r="L23" s="67">
        <f t="shared" si="28"/>
        <v>2.8907979185536807</v>
      </c>
      <c r="M23" s="275">
        <v>68.209999999999994</v>
      </c>
      <c r="N23" s="275">
        <f t="shared" si="29"/>
        <v>71.100797918553681</v>
      </c>
      <c r="O23" s="67">
        <f t="shared" si="30"/>
        <v>198900.36</v>
      </c>
      <c r="P23" s="67">
        <f t="shared" si="31"/>
        <v>207329.92673050254</v>
      </c>
      <c r="Q23" s="67">
        <f t="shared" si="32"/>
        <v>-8429.5667305025563</v>
      </c>
      <c r="R23" s="71">
        <f t="shared" si="33"/>
        <v>71.100797918553681</v>
      </c>
      <c r="S23" s="71">
        <f t="shared" si="34"/>
        <v>207329.92673050254</v>
      </c>
      <c r="T23" s="71">
        <f t="shared" si="35"/>
        <v>8429.5667305025563</v>
      </c>
    </row>
    <row r="24" spans="1:20" s="60" customFormat="1">
      <c r="A24" s="318"/>
      <c r="B24" s="108" t="s">
        <v>108</v>
      </c>
      <c r="C24" s="114" t="s">
        <v>268</v>
      </c>
      <c r="D24" s="290">
        <v>104</v>
      </c>
      <c r="E24" s="69">
        <v>12</v>
      </c>
      <c r="F24" s="110">
        <f t="shared" si="26"/>
        <v>1248</v>
      </c>
      <c r="G24" s="277">
        <f>References!$B$32</f>
        <v>840</v>
      </c>
      <c r="H24" s="68">
        <f t="shared" si="27"/>
        <v>1048320</v>
      </c>
      <c r="I24" s="47">
        <f t="shared" si="15"/>
        <v>657854.58642516623</v>
      </c>
      <c r="J24" s="67">
        <f>(References!$C$49*I24)</f>
        <v>4822.0741184964618</v>
      </c>
      <c r="K24" s="67">
        <f>J24/References!$G$52</f>
        <v>4943.6888645647541</v>
      </c>
      <c r="L24" s="67">
        <f t="shared" si="28"/>
        <v>3.9612891542986812</v>
      </c>
      <c r="M24" s="275">
        <v>101.42</v>
      </c>
      <c r="N24" s="275">
        <f t="shared" si="29"/>
        <v>105.38128915429868</v>
      </c>
      <c r="O24" s="67">
        <f t="shared" si="30"/>
        <v>126572.16</v>
      </c>
      <c r="P24" s="67">
        <f t="shared" si="31"/>
        <v>131515.84886456476</v>
      </c>
      <c r="Q24" s="67">
        <f t="shared" si="32"/>
        <v>-4943.6888645647559</v>
      </c>
      <c r="R24" s="71">
        <f t="shared" si="33"/>
        <v>105.38128915429868</v>
      </c>
      <c r="S24" s="71">
        <f t="shared" si="34"/>
        <v>131515.84886456476</v>
      </c>
      <c r="T24" s="71">
        <f t="shared" si="35"/>
        <v>4943.6888645647559</v>
      </c>
    </row>
    <row r="25" spans="1:20" s="60" customFormat="1">
      <c r="A25" s="318"/>
      <c r="B25" s="108" t="s">
        <v>108</v>
      </c>
      <c r="C25" s="114" t="s">
        <v>269</v>
      </c>
      <c r="D25" s="290">
        <v>52</v>
      </c>
      <c r="E25" s="69">
        <v>12</v>
      </c>
      <c r="F25" s="110">
        <f t="shared" si="26"/>
        <v>624</v>
      </c>
      <c r="G25" s="277">
        <f>References!$B$33</f>
        <v>980</v>
      </c>
      <c r="H25" s="68">
        <f t="shared" si="27"/>
        <v>611520</v>
      </c>
      <c r="I25" s="47">
        <f t="shared" si="15"/>
        <v>383748.50874801364</v>
      </c>
      <c r="J25" s="67">
        <f>(References!$C$49*I25)</f>
        <v>2812.876569122936</v>
      </c>
      <c r="K25" s="67">
        <f>J25/References!$G$52</f>
        <v>2883.8185043294402</v>
      </c>
      <c r="L25" s="67">
        <f t="shared" si="28"/>
        <v>4.6215040133484617</v>
      </c>
      <c r="M25" s="275">
        <v>131.19</v>
      </c>
      <c r="N25" s="275">
        <f t="shared" si="29"/>
        <v>135.81150401334847</v>
      </c>
      <c r="O25" s="67">
        <f t="shared" si="30"/>
        <v>81862.559999999998</v>
      </c>
      <c r="P25" s="67">
        <f t="shared" si="31"/>
        <v>84746.378504329448</v>
      </c>
      <c r="Q25" s="67">
        <f t="shared" si="32"/>
        <v>-2883.8185043294507</v>
      </c>
      <c r="R25" s="71">
        <f t="shared" si="33"/>
        <v>135.81150401334847</v>
      </c>
      <c r="S25" s="71">
        <f t="shared" si="34"/>
        <v>84746.378504329448</v>
      </c>
      <c r="T25" s="71">
        <f t="shared" si="35"/>
        <v>2883.8185043294507</v>
      </c>
    </row>
    <row r="26" spans="1:20" s="60" customFormat="1">
      <c r="A26" s="318"/>
      <c r="B26" s="108" t="s">
        <v>108</v>
      </c>
      <c r="C26" s="114" t="s">
        <v>247</v>
      </c>
      <c r="D26" s="290">
        <v>1</v>
      </c>
      <c r="E26" s="69">
        <v>12</v>
      </c>
      <c r="F26" s="110">
        <f t="shared" si="23"/>
        <v>12</v>
      </c>
      <c r="G26" s="277">
        <f>References!$B$27</f>
        <v>175</v>
      </c>
      <c r="H26" s="68">
        <f t="shared" ref="H26" si="36">G26*F26</f>
        <v>2100</v>
      </c>
      <c r="I26" s="47">
        <f t="shared" si="15"/>
        <v>1317.8176811401568</v>
      </c>
      <c r="J26" s="67">
        <f>(References!$C$49*I26)</f>
        <v>9.6596036027573344</v>
      </c>
      <c r="K26" s="67">
        <f>J26/References!$G$52</f>
        <v>9.9032228857467022</v>
      </c>
      <c r="L26" s="67">
        <f t="shared" ref="L26" si="37">IFERROR(K26/F26,0)</f>
        <v>0.82526857381222518</v>
      </c>
      <c r="M26" s="294">
        <v>23.64</v>
      </c>
      <c r="N26" s="67">
        <f t="shared" ref="N26" si="38">L26+M26</f>
        <v>24.465268573812224</v>
      </c>
      <c r="O26" s="67">
        <f t="shared" ref="O26" si="39">M26*F26</f>
        <v>283.68</v>
      </c>
      <c r="P26" s="67">
        <f t="shared" ref="P26" si="40">N26*F26</f>
        <v>293.58322288574669</v>
      </c>
      <c r="Q26" s="67">
        <f t="shared" ref="Q26" si="41">O26-P26</f>
        <v>-9.9032228857466862</v>
      </c>
      <c r="R26" s="71">
        <f t="shared" ref="R26" si="42">N26</f>
        <v>24.465268573812224</v>
      </c>
      <c r="S26" s="71">
        <f t="shared" ref="S26" si="43">R26*F26</f>
        <v>293.58322288574669</v>
      </c>
      <c r="T26" s="71">
        <f t="shared" ref="T26" si="44">S26-O26</f>
        <v>9.9032228857466862</v>
      </c>
    </row>
    <row r="27" spans="1:20" s="60" customFormat="1">
      <c r="A27" s="318"/>
      <c r="B27" s="108" t="s">
        <v>108</v>
      </c>
      <c r="C27" s="114" t="s">
        <v>233</v>
      </c>
      <c r="D27" s="290">
        <v>1</v>
      </c>
      <c r="E27" s="69">
        <v>12</v>
      </c>
      <c r="F27" s="110">
        <f t="shared" si="23"/>
        <v>12</v>
      </c>
      <c r="G27" s="277">
        <f>((References!$B$28-References!$B$27)/2)+References!$B$27</f>
        <v>212.5</v>
      </c>
      <c r="H27" s="68">
        <f t="shared" si="14"/>
        <v>2550</v>
      </c>
      <c r="I27" s="47">
        <f t="shared" si="15"/>
        <v>1600.207184241619</v>
      </c>
      <c r="J27" s="67">
        <f>(References!$C$49*I27)</f>
        <v>11.729518660491049</v>
      </c>
      <c r="K27" s="67">
        <f>J27/References!$G$52</f>
        <v>12.025342075549569</v>
      </c>
      <c r="L27" s="67">
        <f t="shared" si="24"/>
        <v>1.0021118396291306</v>
      </c>
      <c r="M27" s="294">
        <v>27.51</v>
      </c>
      <c r="N27" s="67">
        <f t="shared" si="25"/>
        <v>28.512111839629132</v>
      </c>
      <c r="O27" s="67">
        <f t="shared" si="17"/>
        <v>330.12</v>
      </c>
      <c r="P27" s="67">
        <f t="shared" si="18"/>
        <v>342.14534207554959</v>
      </c>
      <c r="Q27" s="67">
        <f t="shared" si="19"/>
        <v>-12.025342075549588</v>
      </c>
      <c r="R27" s="71">
        <f t="shared" si="20"/>
        <v>28.512111839629132</v>
      </c>
      <c r="S27" s="71">
        <f t="shared" si="21"/>
        <v>342.14534207554959</v>
      </c>
      <c r="T27" s="71">
        <f t="shared" si="22"/>
        <v>12.025342075549588</v>
      </c>
    </row>
    <row r="28" spans="1:20" s="60" customFormat="1">
      <c r="A28" s="318"/>
      <c r="B28" s="108" t="s">
        <v>108</v>
      </c>
      <c r="C28" s="114" t="s">
        <v>243</v>
      </c>
      <c r="D28" s="290">
        <v>3</v>
      </c>
      <c r="E28" s="69">
        <v>12</v>
      </c>
      <c r="F28" s="110">
        <f t="shared" ref="F28" si="45">D28*E28</f>
        <v>36</v>
      </c>
      <c r="G28" s="277">
        <f>References!$B$29</f>
        <v>324</v>
      </c>
      <c r="H28" s="68">
        <f t="shared" ref="H28" si="46">G28*F28</f>
        <v>11664</v>
      </c>
      <c r="I28" s="47">
        <f t="shared" si="15"/>
        <v>7319.5359203898988</v>
      </c>
      <c r="J28" s="67">
        <f>(References!$C$49*I28)</f>
        <v>53.652198296457883</v>
      </c>
      <c r="K28" s="67">
        <f>J28/References!$G$52</f>
        <v>55.005329399690261</v>
      </c>
      <c r="L28" s="67">
        <f t="shared" ref="L28" si="47">IFERROR(K28/F28,0)</f>
        <v>1.5279258166580627</v>
      </c>
      <c r="M28" s="275">
        <v>40.590000000000003</v>
      </c>
      <c r="N28" s="275">
        <f t="shared" ref="N28" si="48">L28+M28</f>
        <v>42.117925816658065</v>
      </c>
      <c r="O28" s="67">
        <f t="shared" ref="O28" si="49">M28*F28</f>
        <v>1461.2400000000002</v>
      </c>
      <c r="P28" s="67">
        <f t="shared" ref="P28" si="50">N28*F28</f>
        <v>1516.2453293996903</v>
      </c>
      <c r="Q28" s="67">
        <f t="shared" ref="Q28" si="51">O28-P28</f>
        <v>-55.005329399690027</v>
      </c>
      <c r="R28" s="71">
        <f t="shared" ref="R28" si="52">N28</f>
        <v>42.117925816658065</v>
      </c>
      <c r="S28" s="71">
        <f t="shared" ref="S28" si="53">R28*F28</f>
        <v>1516.2453293996903</v>
      </c>
      <c r="T28" s="71">
        <f t="shared" ref="T28" si="54">S28-O28</f>
        <v>55.005329399690027</v>
      </c>
    </row>
    <row r="29" spans="1:20" s="60" customFormat="1">
      <c r="A29" s="318"/>
      <c r="B29" s="108" t="s">
        <v>108</v>
      </c>
      <c r="C29" s="114" t="s">
        <v>234</v>
      </c>
      <c r="D29" s="290">
        <v>2</v>
      </c>
      <c r="E29" s="69">
        <v>12</v>
      </c>
      <c r="F29" s="110">
        <f t="shared" si="23"/>
        <v>24</v>
      </c>
      <c r="G29" s="277">
        <f>References!$B$30</f>
        <v>473</v>
      </c>
      <c r="H29" s="68">
        <f t="shared" si="14"/>
        <v>11352</v>
      </c>
      <c r="I29" s="47">
        <f t="shared" si="15"/>
        <v>7123.7458649062191</v>
      </c>
      <c r="J29" s="67">
        <f>(References!$C$49*I29)</f>
        <v>52.217057189762507</v>
      </c>
      <c r="K29" s="67">
        <f>J29/References!$G$52</f>
        <v>53.533993428093609</v>
      </c>
      <c r="L29" s="67">
        <f t="shared" si="24"/>
        <v>2.2305830595039002</v>
      </c>
      <c r="M29" s="275">
        <v>56.92</v>
      </c>
      <c r="N29" s="275">
        <f t="shared" si="25"/>
        <v>59.150583059503901</v>
      </c>
      <c r="O29" s="67">
        <f t="shared" si="17"/>
        <v>1366.08</v>
      </c>
      <c r="P29" s="67">
        <f t="shared" si="18"/>
        <v>1419.6139934280936</v>
      </c>
      <c r="Q29" s="67">
        <f t="shared" si="19"/>
        <v>-53.533993428093709</v>
      </c>
      <c r="R29" s="71">
        <f t="shared" si="20"/>
        <v>59.150583059503901</v>
      </c>
      <c r="S29" s="71">
        <f t="shared" si="21"/>
        <v>1419.6139934280936</v>
      </c>
      <c r="T29" s="71">
        <f t="shared" si="22"/>
        <v>53.533993428093709</v>
      </c>
    </row>
    <row r="30" spans="1:20" s="60" customFormat="1">
      <c r="A30" s="318"/>
      <c r="B30" s="108" t="s">
        <v>108</v>
      </c>
      <c r="C30" s="114" t="s">
        <v>235</v>
      </c>
      <c r="D30" s="290">
        <v>4</v>
      </c>
      <c r="E30" s="69">
        <v>12</v>
      </c>
      <c r="F30" s="110">
        <f t="shared" si="23"/>
        <v>48</v>
      </c>
      <c r="G30" s="277">
        <f>References!$B$31</f>
        <v>613</v>
      </c>
      <c r="H30" s="68">
        <f t="shared" si="14"/>
        <v>29424</v>
      </c>
      <c r="I30" s="47">
        <f t="shared" si="15"/>
        <v>18464.50830946094</v>
      </c>
      <c r="J30" s="67">
        <f>(References!$C$49*I30)</f>
        <v>135.3448459083485</v>
      </c>
      <c r="K30" s="67">
        <f>J30/References!$G$52</f>
        <v>138.75830009057668</v>
      </c>
      <c r="L30" s="67">
        <f t="shared" si="24"/>
        <v>2.8907979185536807</v>
      </c>
      <c r="M30" s="275">
        <v>74.44</v>
      </c>
      <c r="N30" s="275">
        <f t="shared" si="25"/>
        <v>77.330797918553685</v>
      </c>
      <c r="O30" s="67">
        <f t="shared" si="17"/>
        <v>3573.12</v>
      </c>
      <c r="P30" s="67">
        <f t="shared" si="18"/>
        <v>3711.8783000905769</v>
      </c>
      <c r="Q30" s="67">
        <f t="shared" si="19"/>
        <v>-138.75830009057699</v>
      </c>
      <c r="R30" s="71">
        <f t="shared" si="20"/>
        <v>77.330797918553685</v>
      </c>
      <c r="S30" s="71">
        <f t="shared" si="21"/>
        <v>3711.8783000905769</v>
      </c>
      <c r="T30" s="71">
        <f t="shared" si="22"/>
        <v>138.75830009057699</v>
      </c>
    </row>
    <row r="31" spans="1:20" s="60" customFormat="1">
      <c r="A31" s="318"/>
      <c r="B31" s="108" t="s">
        <v>108</v>
      </c>
      <c r="C31" s="114" t="s">
        <v>123</v>
      </c>
      <c r="D31" s="290">
        <v>10</v>
      </c>
      <c r="E31" s="69">
        <v>12</v>
      </c>
      <c r="F31" s="110">
        <f t="shared" ref="F31" si="55">D31*E31</f>
        <v>120</v>
      </c>
      <c r="G31" s="277">
        <f>References!$B$32</f>
        <v>840</v>
      </c>
      <c r="H31" s="68">
        <f t="shared" ref="H31" si="56">G31*F31</f>
        <v>100800</v>
      </c>
      <c r="I31" s="47">
        <f t="shared" si="15"/>
        <v>63255.248694727525</v>
      </c>
      <c r="J31" s="67">
        <f>(References!$C$49*I31)</f>
        <v>463.66097293235208</v>
      </c>
      <c r="K31" s="67">
        <f>J31/References!$G$52</f>
        <v>475.35469851584179</v>
      </c>
      <c r="L31" s="67">
        <f t="shared" ref="L31" si="57">IFERROR(K31/F31,0)</f>
        <v>3.9612891542986817</v>
      </c>
      <c r="M31" s="275">
        <v>110.15</v>
      </c>
      <c r="N31" s="275">
        <f t="shared" ref="N31" si="58">L31+M31</f>
        <v>114.11128915429869</v>
      </c>
      <c r="O31" s="67">
        <f t="shared" ref="O31" si="59">M31*F31</f>
        <v>13218</v>
      </c>
      <c r="P31" s="67">
        <f t="shared" ref="P31" si="60">N31*F31</f>
        <v>13693.354698515843</v>
      </c>
      <c r="Q31" s="67">
        <f t="shared" ref="Q31" si="61">O31-P31</f>
        <v>-475.35469851584276</v>
      </c>
      <c r="R31" s="71">
        <f t="shared" ref="R31" si="62">N31</f>
        <v>114.11128915429869</v>
      </c>
      <c r="S31" s="71">
        <f t="shared" ref="S31" si="63">R31*F31</f>
        <v>13693.354698515843</v>
      </c>
      <c r="T31" s="71">
        <f t="shared" ref="T31" si="64">S31-O31</f>
        <v>475.35469851584276</v>
      </c>
    </row>
    <row r="32" spans="1:20" s="60" customFormat="1">
      <c r="A32" s="318"/>
      <c r="B32" s="108" t="s">
        <v>108</v>
      </c>
      <c r="C32" s="114" t="s">
        <v>246</v>
      </c>
      <c r="D32" s="290">
        <v>1</v>
      </c>
      <c r="E32" s="69">
        <v>1</v>
      </c>
      <c r="F32" s="110">
        <f>D32*E32</f>
        <v>1</v>
      </c>
      <c r="G32" s="277">
        <f>References!$B$29</f>
        <v>324</v>
      </c>
      <c r="H32" s="68">
        <f>G32*F32</f>
        <v>324</v>
      </c>
      <c r="I32" s="47">
        <f t="shared" si="15"/>
        <v>203.32044223305274</v>
      </c>
      <c r="J32" s="67">
        <f>(References!$C$49*I32)</f>
        <v>1.4903388415682743</v>
      </c>
      <c r="K32" s="67">
        <f>J32/References!$G$52</f>
        <v>1.5279258166580627</v>
      </c>
      <c r="L32" s="67">
        <f>IFERROR(K32/F32,0)</f>
        <v>1.5279258166580627</v>
      </c>
      <c r="M32" s="275">
        <v>39.82</v>
      </c>
      <c r="N32" s="275">
        <f>L32+M32</f>
        <v>41.347925816658062</v>
      </c>
      <c r="O32" s="67">
        <f>M32*F32</f>
        <v>39.82</v>
      </c>
      <c r="P32" s="67">
        <f>N32*F32</f>
        <v>41.347925816658062</v>
      </c>
      <c r="Q32" s="67">
        <f>O32-P32</f>
        <v>-1.5279258166580618</v>
      </c>
      <c r="R32" s="71">
        <f>N32</f>
        <v>41.347925816658062</v>
      </c>
      <c r="S32" s="71">
        <f>R32*F32</f>
        <v>41.347925816658062</v>
      </c>
      <c r="T32" s="71">
        <f>S32-O32</f>
        <v>1.5279258166580618</v>
      </c>
    </row>
    <row r="33" spans="1:20" s="60" customFormat="1">
      <c r="A33" s="318"/>
      <c r="B33" s="108" t="s">
        <v>108</v>
      </c>
      <c r="C33" s="114" t="s">
        <v>245</v>
      </c>
      <c r="D33" s="290">
        <v>15</v>
      </c>
      <c r="E33" s="69">
        <v>1</v>
      </c>
      <c r="F33" s="110">
        <f t="shared" si="23"/>
        <v>15</v>
      </c>
      <c r="G33" s="277">
        <f>References!$B$32</f>
        <v>840</v>
      </c>
      <c r="H33" s="68">
        <f t="shared" si="14"/>
        <v>12600</v>
      </c>
      <c r="I33" s="47">
        <f t="shared" si="15"/>
        <v>7906.9060868409406</v>
      </c>
      <c r="J33" s="67">
        <f>(References!$C$49*I33)</f>
        <v>57.95762161654401</v>
      </c>
      <c r="K33" s="67">
        <f>J33/References!$G$52</f>
        <v>59.419337314480224</v>
      </c>
      <c r="L33" s="67">
        <f t="shared" si="24"/>
        <v>3.9612891542986817</v>
      </c>
      <c r="M33" s="275">
        <v>106.65</v>
      </c>
      <c r="N33" s="275">
        <f t="shared" si="25"/>
        <v>110.61128915429869</v>
      </c>
      <c r="O33" s="67">
        <f t="shared" si="17"/>
        <v>1599.75</v>
      </c>
      <c r="P33" s="67">
        <f t="shared" si="18"/>
        <v>1659.1693373144803</v>
      </c>
      <c r="Q33" s="67">
        <f t="shared" si="19"/>
        <v>-59.419337314480345</v>
      </c>
      <c r="R33" s="71">
        <f t="shared" si="20"/>
        <v>110.61128915429869</v>
      </c>
      <c r="S33" s="71">
        <f t="shared" si="21"/>
        <v>1659.1693373144803</v>
      </c>
      <c r="T33" s="71">
        <f t="shared" si="22"/>
        <v>59.419337314480345</v>
      </c>
    </row>
    <row r="34" spans="1:20" s="60" customFormat="1">
      <c r="A34" s="318"/>
      <c r="B34" s="43" t="s">
        <v>127</v>
      </c>
      <c r="C34" s="58" t="s">
        <v>281</v>
      </c>
      <c r="D34" s="290">
        <v>13</v>
      </c>
      <c r="E34" s="69">
        <v>12</v>
      </c>
      <c r="F34" s="110">
        <f t="shared" si="23"/>
        <v>156</v>
      </c>
      <c r="G34" s="278">
        <f>References!$B$26</f>
        <v>29</v>
      </c>
      <c r="H34" s="68">
        <f t="shared" si="14"/>
        <v>4524</v>
      </c>
      <c r="I34" s="47">
        <f t="shared" si="15"/>
        <v>2838.9558045133663</v>
      </c>
      <c r="J34" s="67">
        <f>(References!$C$49*I34)</f>
        <v>20.809546047082943</v>
      </c>
      <c r="K34" s="67">
        <f>J34/References!$G$52</f>
        <v>21.33437158815147</v>
      </c>
      <c r="L34" s="275">
        <f>IFERROR(K34/F34,0)</f>
        <v>0.1367587922317402</v>
      </c>
      <c r="M34" s="279">
        <v>3.86</v>
      </c>
      <c r="N34" s="275">
        <f t="shared" si="25"/>
        <v>3.99675879223174</v>
      </c>
      <c r="O34" s="67">
        <f t="shared" ref="O34" si="65">M34*F34</f>
        <v>602.16</v>
      </c>
      <c r="P34" s="67">
        <f t="shared" ref="P34" si="66">N34*F34</f>
        <v>623.49437158815147</v>
      </c>
      <c r="Q34" s="67">
        <f t="shared" ref="Q34" si="67">O34-P34</f>
        <v>-21.334371588151498</v>
      </c>
      <c r="R34" s="71">
        <f t="shared" ref="R34" si="68">N34</f>
        <v>3.99675879223174</v>
      </c>
      <c r="S34" s="71">
        <f t="shared" ref="S34" si="69">R34*F34</f>
        <v>623.49437158815147</v>
      </c>
      <c r="T34" s="71">
        <f t="shared" ref="T34" si="70">S34-O34</f>
        <v>21.334371588151498</v>
      </c>
    </row>
    <row r="35" spans="1:20" s="60" customFormat="1">
      <c r="A35" s="318"/>
      <c r="B35" s="43"/>
      <c r="C35" s="58"/>
      <c r="D35" s="163"/>
      <c r="E35" s="69"/>
      <c r="F35" s="110"/>
      <c r="G35" s="132"/>
      <c r="H35" s="68"/>
      <c r="I35" s="47"/>
      <c r="J35" s="67"/>
      <c r="K35" s="67"/>
      <c r="L35" s="67"/>
      <c r="M35" s="153"/>
      <c r="N35" s="67"/>
      <c r="O35" s="67"/>
      <c r="P35" s="67"/>
      <c r="Q35" s="67"/>
      <c r="R35" s="71"/>
      <c r="S35" s="71"/>
      <c r="T35" s="71"/>
    </row>
    <row r="36" spans="1:20" s="60" customFormat="1">
      <c r="A36" s="318"/>
      <c r="B36" s="108"/>
      <c r="C36" s="114"/>
      <c r="D36" s="57"/>
      <c r="E36" s="69"/>
      <c r="F36" s="115"/>
      <c r="G36" s="111"/>
      <c r="H36" s="68"/>
      <c r="I36" s="47"/>
      <c r="J36" s="67"/>
      <c r="K36" s="67"/>
      <c r="L36" s="67"/>
      <c r="M36" s="67"/>
      <c r="N36" s="67"/>
      <c r="O36" s="67"/>
      <c r="P36" s="67"/>
      <c r="Q36" s="67"/>
      <c r="R36" s="71"/>
      <c r="S36" s="71"/>
      <c r="T36" s="71"/>
    </row>
    <row r="37" spans="1:20" s="60" customFormat="1">
      <c r="A37" s="51"/>
      <c r="B37" s="78"/>
      <c r="C37" s="52" t="s">
        <v>17</v>
      </c>
      <c r="D37" s="53">
        <f>SUM(D16:D36)</f>
        <v>1191</v>
      </c>
      <c r="E37" s="53"/>
      <c r="F37" s="53">
        <f>SUM(F16:F36)</f>
        <v>14116</v>
      </c>
      <c r="G37" s="100"/>
      <c r="H37" s="53">
        <f>SUM(H16:H36)</f>
        <v>5479242</v>
      </c>
      <c r="I37" s="53">
        <f>SUM(I16:I36)</f>
        <v>3438400.9461170263</v>
      </c>
      <c r="J37" s="74"/>
      <c r="K37" s="74"/>
      <c r="L37" s="74"/>
      <c r="M37" s="74"/>
      <c r="N37" s="74"/>
      <c r="O37" s="53">
        <f>SUM(O16:O36)</f>
        <v>645351.25</v>
      </c>
      <c r="P37" s="118">
        <f>SUM(P16:P36)</f>
        <v>671190.37131949724</v>
      </c>
      <c r="Q37" s="118">
        <f>SUM(Q16:Q36)</f>
        <v>-25839.121319497444</v>
      </c>
      <c r="R37" s="118"/>
      <c r="S37" s="118">
        <f>SUM(S16:S36)</f>
        <v>671190.37131949724</v>
      </c>
      <c r="T37" s="118">
        <f>SUM(T16:T36)</f>
        <v>25839.121319497444</v>
      </c>
    </row>
    <row r="38" spans="1:20" s="60" customFormat="1" ht="14.45" customHeight="1">
      <c r="A38" s="317" t="s">
        <v>106</v>
      </c>
      <c r="B38" s="108" t="s">
        <v>109</v>
      </c>
      <c r="C38" s="114" t="s">
        <v>262</v>
      </c>
      <c r="D38" s="290">
        <v>329</v>
      </c>
      <c r="E38" s="69">
        <v>12</v>
      </c>
      <c r="F38" s="115">
        <f>D38*E38</f>
        <v>3948</v>
      </c>
      <c r="G38" s="277">
        <f>References!B14</f>
        <v>34</v>
      </c>
      <c r="H38" s="68">
        <f t="shared" ref="H38:H44" si="71">G38*F38</f>
        <v>134232</v>
      </c>
      <c r="I38" s="47">
        <f t="shared" ref="I38:I47" si="72">$D$130*H38</f>
        <v>84234.906178478821</v>
      </c>
      <c r="J38" s="67">
        <f>(References!$C$49*I38)</f>
        <v>617.4418622882489</v>
      </c>
      <c r="K38" s="67">
        <f>J38/References!$G$52</f>
        <v>633.01400685692931</v>
      </c>
      <c r="L38" s="67">
        <f t="shared" ref="L38:L46" si="73">IFERROR(K38/F38,0)</f>
        <v>0.16033789434066092</v>
      </c>
      <c r="M38" s="294">
        <v>4.26</v>
      </c>
      <c r="N38" s="67">
        <f t="shared" ref="N38:N44" si="74">L38+M38</f>
        <v>4.420337894340661</v>
      </c>
      <c r="O38" s="67">
        <f t="shared" ref="O38:O46" si="75">M38*F38</f>
        <v>16818.48</v>
      </c>
      <c r="P38" s="67">
        <f t="shared" ref="P38:P46" si="76">N38*F38</f>
        <v>17451.49400685693</v>
      </c>
      <c r="Q38" s="67">
        <f t="shared" ref="Q38:Q46" si="77">O38-P38</f>
        <v>-633.01400685693079</v>
      </c>
      <c r="R38" s="71">
        <f t="shared" ref="R38:R46" si="78">N38</f>
        <v>4.420337894340661</v>
      </c>
      <c r="S38" s="71">
        <f t="shared" ref="S38:S46" si="79">R38*F38</f>
        <v>17451.49400685693</v>
      </c>
      <c r="T38" s="71">
        <f t="shared" ref="T38:T46" si="80">S38-O38</f>
        <v>633.01400685693079</v>
      </c>
    </row>
    <row r="39" spans="1:20" s="60" customFormat="1">
      <c r="A39" s="318"/>
      <c r="B39" s="108" t="s">
        <v>109</v>
      </c>
      <c r="C39" s="114" t="s">
        <v>263</v>
      </c>
      <c r="D39" s="290">
        <v>91</v>
      </c>
      <c r="E39" s="69">
        <v>12</v>
      </c>
      <c r="F39" s="115">
        <f t="shared" ref="F39:F47" si="81">D39*E39</f>
        <v>1092</v>
      </c>
      <c r="G39" s="277">
        <f>References!B22</f>
        <v>68</v>
      </c>
      <c r="H39" s="68">
        <f t="shared" si="71"/>
        <v>74256</v>
      </c>
      <c r="I39" s="47">
        <f t="shared" si="72"/>
        <v>46598.033205115942</v>
      </c>
      <c r="J39" s="67">
        <f>(References!$C$49*I39)</f>
        <v>341.56358339349936</v>
      </c>
      <c r="K39" s="67">
        <f>J39/References!$G$52</f>
        <v>350.17796124000341</v>
      </c>
      <c r="L39" s="67">
        <f t="shared" si="73"/>
        <v>0.32067578868132179</v>
      </c>
      <c r="M39" s="294">
        <v>11.63</v>
      </c>
      <c r="N39" s="67">
        <f t="shared" si="74"/>
        <v>11.950675788681323</v>
      </c>
      <c r="O39" s="67">
        <f t="shared" si="75"/>
        <v>12699.960000000001</v>
      </c>
      <c r="P39" s="67">
        <f t="shared" si="76"/>
        <v>13050.137961240005</v>
      </c>
      <c r="Q39" s="67">
        <f t="shared" si="77"/>
        <v>-350.17796124000415</v>
      </c>
      <c r="R39" s="71">
        <f t="shared" si="78"/>
        <v>11.950675788681323</v>
      </c>
      <c r="S39" s="71">
        <f t="shared" si="79"/>
        <v>13050.137961240005</v>
      </c>
      <c r="T39" s="71">
        <f t="shared" si="80"/>
        <v>350.17796124000415</v>
      </c>
    </row>
    <row r="40" spans="1:20" s="60" customFormat="1">
      <c r="A40" s="318"/>
      <c r="B40" s="108" t="s">
        <v>109</v>
      </c>
      <c r="C40" s="114" t="s">
        <v>270</v>
      </c>
      <c r="D40" s="290">
        <v>43</v>
      </c>
      <c r="E40" s="69">
        <v>12</v>
      </c>
      <c r="F40" s="115">
        <f t="shared" si="81"/>
        <v>516</v>
      </c>
      <c r="G40" s="277">
        <f>References!B27</f>
        <v>175</v>
      </c>
      <c r="H40" s="68">
        <f t="shared" si="71"/>
        <v>90300</v>
      </c>
      <c r="I40" s="47">
        <f t="shared" si="72"/>
        <v>56666.160289026739</v>
      </c>
      <c r="J40" s="67">
        <f>(References!$C$49*I40)</f>
        <v>415.36295491856538</v>
      </c>
      <c r="K40" s="67">
        <f>J40/References!$G$52</f>
        <v>425.83858408710825</v>
      </c>
      <c r="L40" s="67">
        <f t="shared" si="73"/>
        <v>0.82526857381222529</v>
      </c>
      <c r="M40" s="294">
        <v>25.53</v>
      </c>
      <c r="N40" s="67">
        <f t="shared" si="74"/>
        <v>26.355268573812225</v>
      </c>
      <c r="O40" s="67">
        <f t="shared" si="75"/>
        <v>13173.480000000001</v>
      </c>
      <c r="P40" s="67">
        <f t="shared" si="76"/>
        <v>13599.318584087108</v>
      </c>
      <c r="Q40" s="67">
        <f t="shared" si="77"/>
        <v>-425.83858408710694</v>
      </c>
      <c r="R40" s="71">
        <f t="shared" si="78"/>
        <v>26.355268573812225</v>
      </c>
      <c r="S40" s="71">
        <f t="shared" si="79"/>
        <v>13599.318584087108</v>
      </c>
      <c r="T40" s="71">
        <f t="shared" si="80"/>
        <v>425.83858408710694</v>
      </c>
    </row>
    <row r="41" spans="1:20" s="60" customFormat="1">
      <c r="A41" s="318"/>
      <c r="B41" s="108" t="s">
        <v>109</v>
      </c>
      <c r="C41" s="114" t="s">
        <v>264</v>
      </c>
      <c r="D41" s="290">
        <v>22</v>
      </c>
      <c r="E41" s="69">
        <v>12</v>
      </c>
      <c r="F41" s="115">
        <f t="shared" si="81"/>
        <v>264</v>
      </c>
      <c r="G41" s="277">
        <f>((References!$B$28-References!$B$27)/2)+References!$B$27</f>
        <v>212.5</v>
      </c>
      <c r="H41" s="68">
        <f t="shared" si="71"/>
        <v>56100</v>
      </c>
      <c r="I41" s="47">
        <f t="shared" si="72"/>
        <v>35204.558053315617</v>
      </c>
      <c r="J41" s="67">
        <f>(References!$C$49*I41)</f>
        <v>258.04941053080307</v>
      </c>
      <c r="K41" s="67">
        <f>J41/References!$G$52</f>
        <v>264.55752566209048</v>
      </c>
      <c r="L41" s="67">
        <f t="shared" si="73"/>
        <v>1.0021118396291306</v>
      </c>
      <c r="M41" s="294">
        <v>30.61</v>
      </c>
      <c r="N41" s="67">
        <f t="shared" si="74"/>
        <v>31.612111839629129</v>
      </c>
      <c r="O41" s="67">
        <f t="shared" si="75"/>
        <v>8081.04</v>
      </c>
      <c r="P41" s="67">
        <f t="shared" si="76"/>
        <v>8345.5975256620895</v>
      </c>
      <c r="Q41" s="67">
        <f t="shared" si="77"/>
        <v>-264.55752566208957</v>
      </c>
      <c r="R41" s="71">
        <f t="shared" si="78"/>
        <v>31.612111839629129</v>
      </c>
      <c r="S41" s="71">
        <f t="shared" si="79"/>
        <v>8345.5975256620895</v>
      </c>
      <c r="T41" s="71">
        <f t="shared" si="80"/>
        <v>264.55752566208957</v>
      </c>
    </row>
    <row r="42" spans="1:20" s="60" customFormat="1">
      <c r="A42" s="318"/>
      <c r="B42" s="108" t="s">
        <v>109</v>
      </c>
      <c r="C42" s="114" t="s">
        <v>265</v>
      </c>
      <c r="D42" s="290">
        <v>74</v>
      </c>
      <c r="E42" s="69">
        <v>12</v>
      </c>
      <c r="F42" s="115">
        <f t="shared" si="81"/>
        <v>888</v>
      </c>
      <c r="G42" s="277">
        <f>References!$B$29</f>
        <v>324</v>
      </c>
      <c r="H42" s="68">
        <f t="shared" si="71"/>
        <v>287712</v>
      </c>
      <c r="I42" s="47">
        <f t="shared" si="72"/>
        <v>180548.55270295084</v>
      </c>
      <c r="J42" s="67">
        <f>(References!$C$49*I42)</f>
        <v>1323.4208913126276</v>
      </c>
      <c r="K42" s="67">
        <f>J42/References!$G$52</f>
        <v>1356.7981251923595</v>
      </c>
      <c r="L42" s="67">
        <f t="shared" si="73"/>
        <v>1.5279258166580625</v>
      </c>
      <c r="M42" s="275">
        <v>47.63</v>
      </c>
      <c r="N42" s="275">
        <f t="shared" si="74"/>
        <v>49.157925816658064</v>
      </c>
      <c r="O42" s="67">
        <f t="shared" si="75"/>
        <v>42295.44</v>
      </c>
      <c r="P42" s="67">
        <f t="shared" si="76"/>
        <v>43652.238125192358</v>
      </c>
      <c r="Q42" s="67">
        <f t="shared" si="77"/>
        <v>-1356.7981251923557</v>
      </c>
      <c r="R42" s="71">
        <f t="shared" si="78"/>
        <v>49.157925816658064</v>
      </c>
      <c r="S42" s="71">
        <f t="shared" si="79"/>
        <v>43652.238125192358</v>
      </c>
      <c r="T42" s="71">
        <f t="shared" si="80"/>
        <v>1356.7981251923557</v>
      </c>
    </row>
    <row r="43" spans="1:20" s="60" customFormat="1">
      <c r="A43" s="318"/>
      <c r="B43" s="108" t="s">
        <v>109</v>
      </c>
      <c r="C43" s="114" t="s">
        <v>266</v>
      </c>
      <c r="D43" s="290">
        <v>82</v>
      </c>
      <c r="E43" s="69">
        <v>12</v>
      </c>
      <c r="F43" s="115">
        <f t="shared" si="81"/>
        <v>984</v>
      </c>
      <c r="G43" s="277">
        <f>References!$B$30</f>
        <v>473</v>
      </c>
      <c r="H43" s="68">
        <f t="shared" si="71"/>
        <v>465432</v>
      </c>
      <c r="I43" s="47">
        <f t="shared" si="72"/>
        <v>292073.58046115498</v>
      </c>
      <c r="J43" s="67">
        <f>(References!$C$49*I43)</f>
        <v>2140.8993447802627</v>
      </c>
      <c r="K43" s="67">
        <f>J43/References!$G$52</f>
        <v>2194.893730551838</v>
      </c>
      <c r="L43" s="67">
        <f t="shared" si="73"/>
        <v>2.2305830595039002</v>
      </c>
      <c r="M43" s="275">
        <v>70.39</v>
      </c>
      <c r="N43" s="275">
        <f t="shared" si="74"/>
        <v>72.6205830595039</v>
      </c>
      <c r="O43" s="67">
        <f t="shared" si="75"/>
        <v>69263.759999999995</v>
      </c>
      <c r="P43" s="67">
        <f t="shared" si="76"/>
        <v>71458.653730551843</v>
      </c>
      <c r="Q43" s="67">
        <f t="shared" si="77"/>
        <v>-2194.8937305518484</v>
      </c>
      <c r="R43" s="71">
        <f t="shared" si="78"/>
        <v>72.6205830595039</v>
      </c>
      <c r="S43" s="71">
        <f t="shared" si="79"/>
        <v>71458.653730551843</v>
      </c>
      <c r="T43" s="71">
        <f t="shared" si="80"/>
        <v>2194.8937305518484</v>
      </c>
    </row>
    <row r="44" spans="1:20" s="60" customFormat="1">
      <c r="A44" s="318"/>
      <c r="B44" s="108" t="s">
        <v>109</v>
      </c>
      <c r="C44" s="114" t="s">
        <v>267</v>
      </c>
      <c r="D44" s="290">
        <v>143</v>
      </c>
      <c r="E44" s="69">
        <v>12</v>
      </c>
      <c r="F44" s="115">
        <f t="shared" si="81"/>
        <v>1716</v>
      </c>
      <c r="G44" s="277">
        <f>References!$B$31</f>
        <v>613</v>
      </c>
      <c r="H44" s="68">
        <f t="shared" si="71"/>
        <v>1051908</v>
      </c>
      <c r="I44" s="47">
        <f t="shared" si="72"/>
        <v>660106.17206322856</v>
      </c>
      <c r="J44" s="67">
        <f>(References!$C$49*I44)</f>
        <v>4838.5782412234585</v>
      </c>
      <c r="K44" s="67">
        <f>J44/References!$G$52</f>
        <v>4960.609228238116</v>
      </c>
      <c r="L44" s="67">
        <f t="shared" si="73"/>
        <v>2.8907979185536807</v>
      </c>
      <c r="M44" s="275">
        <v>91.12</v>
      </c>
      <c r="N44" s="275">
        <f t="shared" si="74"/>
        <v>94.010797918553692</v>
      </c>
      <c r="O44" s="67">
        <f t="shared" si="75"/>
        <v>156361.92000000001</v>
      </c>
      <c r="P44" s="67">
        <f t="shared" si="76"/>
        <v>161322.52922823813</v>
      </c>
      <c r="Q44" s="67">
        <f t="shared" si="77"/>
        <v>-4960.6092282381142</v>
      </c>
      <c r="R44" s="71">
        <f t="shared" si="78"/>
        <v>94.010797918553692</v>
      </c>
      <c r="S44" s="71">
        <f t="shared" si="79"/>
        <v>161322.52922823813</v>
      </c>
      <c r="T44" s="71">
        <f t="shared" si="80"/>
        <v>4960.6092282381142</v>
      </c>
    </row>
    <row r="45" spans="1:20" s="60" customFormat="1">
      <c r="A45" s="318"/>
      <c r="B45" s="108" t="s">
        <v>109</v>
      </c>
      <c r="C45" s="114" t="s">
        <v>268</v>
      </c>
      <c r="D45" s="290">
        <v>48</v>
      </c>
      <c r="E45" s="69">
        <v>12</v>
      </c>
      <c r="F45" s="115">
        <f t="shared" si="81"/>
        <v>576</v>
      </c>
      <c r="G45" s="277">
        <f>References!$B$32</f>
        <v>840</v>
      </c>
      <c r="H45" s="68">
        <f t="shared" ref="H45:H47" si="82">G45*F45</f>
        <v>483840</v>
      </c>
      <c r="I45" s="47">
        <f t="shared" si="72"/>
        <v>303625.19373469212</v>
      </c>
      <c r="J45" s="67">
        <f>(References!$C$49*I45)</f>
        <v>2225.5726700752898</v>
      </c>
      <c r="K45" s="67">
        <f>J45/References!$G$52</f>
        <v>2281.7025528760405</v>
      </c>
      <c r="L45" s="67">
        <f t="shared" si="73"/>
        <v>3.9612891542986812</v>
      </c>
      <c r="M45" s="275">
        <v>135.87</v>
      </c>
      <c r="N45" s="275">
        <f t="shared" ref="N45:N47" si="83">L45+M45</f>
        <v>139.83128915429867</v>
      </c>
      <c r="O45" s="67">
        <f t="shared" si="75"/>
        <v>78261.119999999995</v>
      </c>
      <c r="P45" s="67">
        <f t="shared" si="76"/>
        <v>80542.822552876038</v>
      </c>
      <c r="Q45" s="67">
        <f t="shared" si="77"/>
        <v>-2281.7025528760423</v>
      </c>
      <c r="R45" s="71">
        <f t="shared" si="78"/>
        <v>139.83128915429867</v>
      </c>
      <c r="S45" s="71">
        <f t="shared" si="79"/>
        <v>80542.822552876038</v>
      </c>
      <c r="T45" s="71">
        <f t="shared" si="80"/>
        <v>2281.7025528760423</v>
      </c>
    </row>
    <row r="46" spans="1:20" s="60" customFormat="1">
      <c r="A46" s="318"/>
      <c r="B46" s="108" t="s">
        <v>109</v>
      </c>
      <c r="C46" s="114" t="s">
        <v>269</v>
      </c>
      <c r="D46" s="290">
        <v>39</v>
      </c>
      <c r="E46" s="69">
        <v>12</v>
      </c>
      <c r="F46" s="115">
        <f t="shared" si="81"/>
        <v>468</v>
      </c>
      <c r="G46" s="277">
        <f>References!$B$33</f>
        <v>980</v>
      </c>
      <c r="H46" s="68">
        <f t="shared" si="82"/>
        <v>458640</v>
      </c>
      <c r="I46" s="47">
        <f t="shared" si="72"/>
        <v>287811.3815610102</v>
      </c>
      <c r="J46" s="67">
        <f>(References!$C$49*I46)</f>
        <v>2109.6574268422019</v>
      </c>
      <c r="K46" s="67">
        <f>J46/References!$G$52</f>
        <v>2162.8638782470798</v>
      </c>
      <c r="L46" s="67">
        <f t="shared" si="73"/>
        <v>4.6215040133484608</v>
      </c>
      <c r="M46" s="275">
        <v>177.13</v>
      </c>
      <c r="N46" s="275">
        <f t="shared" si="83"/>
        <v>181.75150401334847</v>
      </c>
      <c r="O46" s="67">
        <f t="shared" si="75"/>
        <v>82896.84</v>
      </c>
      <c r="P46" s="67">
        <f t="shared" si="76"/>
        <v>85059.703878247077</v>
      </c>
      <c r="Q46" s="67">
        <f t="shared" si="77"/>
        <v>-2162.8638782470807</v>
      </c>
      <c r="R46" s="71">
        <f t="shared" si="78"/>
        <v>181.75150401334847</v>
      </c>
      <c r="S46" s="71">
        <f t="shared" si="79"/>
        <v>85059.703878247077</v>
      </c>
      <c r="T46" s="71">
        <f t="shared" si="80"/>
        <v>2162.8638782470807</v>
      </c>
    </row>
    <row r="47" spans="1:20" s="60" customFormat="1">
      <c r="A47" s="244"/>
      <c r="B47" s="120" t="s">
        <v>128</v>
      </c>
      <c r="C47" s="114" t="s">
        <v>277</v>
      </c>
      <c r="D47" s="290">
        <v>13</v>
      </c>
      <c r="E47" s="69">
        <v>12</v>
      </c>
      <c r="F47" s="115">
        <f t="shared" si="81"/>
        <v>156</v>
      </c>
      <c r="G47" s="278">
        <f>References!$B$37</f>
        <v>1301</v>
      </c>
      <c r="H47" s="68">
        <f t="shared" si="82"/>
        <v>202956</v>
      </c>
      <c r="I47" s="47">
        <f t="shared" si="72"/>
        <v>127361.43109213412</v>
      </c>
      <c r="J47" s="67">
        <f>(References!$C$49*I47)</f>
        <v>933.55928990534176</v>
      </c>
      <c r="K47" s="67">
        <f>J47/References!$G$52</f>
        <v>957.10404952362285</v>
      </c>
      <c r="L47" s="67">
        <f>IFERROR(K47/F47,0)</f>
        <v>6.1352823687411719</v>
      </c>
      <c r="M47" s="295">
        <v>234.38</v>
      </c>
      <c r="N47" s="67">
        <f t="shared" si="83"/>
        <v>240.51528236874117</v>
      </c>
      <c r="O47" s="67">
        <f t="shared" ref="O47" si="84">M47*F47</f>
        <v>36563.279999999999</v>
      </c>
      <c r="P47" s="67">
        <f t="shared" ref="P47" si="85">N47*F47</f>
        <v>37520.384049523622</v>
      </c>
      <c r="Q47" s="67">
        <f t="shared" ref="Q47" si="86">O47-P47</f>
        <v>-957.10404952362296</v>
      </c>
      <c r="R47" s="71">
        <f t="shared" ref="R47" si="87">N47</f>
        <v>240.51528236874117</v>
      </c>
      <c r="S47" s="71">
        <f t="shared" ref="S47" si="88">R47*F47</f>
        <v>37520.384049523622</v>
      </c>
      <c r="T47" s="71">
        <f t="shared" ref="T47" si="89">S47-O47</f>
        <v>957.10404952362296</v>
      </c>
    </row>
    <row r="48" spans="1:20" s="60" customFormat="1">
      <c r="A48" s="63"/>
      <c r="B48" s="48"/>
      <c r="C48" s="114"/>
      <c r="D48" s="96"/>
      <c r="E48" s="69"/>
      <c r="F48" s="115"/>
      <c r="G48" s="111"/>
      <c r="H48" s="68"/>
      <c r="I48" s="47"/>
      <c r="J48" s="67"/>
      <c r="K48" s="67"/>
      <c r="L48" s="67"/>
      <c r="M48" s="67"/>
      <c r="N48" s="67"/>
      <c r="O48" s="67"/>
      <c r="P48" s="67"/>
      <c r="Q48" s="67"/>
      <c r="R48" s="71"/>
      <c r="S48" s="71"/>
      <c r="T48" s="71"/>
    </row>
    <row r="49" spans="1:22" s="60" customFormat="1">
      <c r="A49" s="51"/>
      <c r="B49" s="49"/>
      <c r="C49" s="52" t="s">
        <v>17</v>
      </c>
      <c r="D49" s="53">
        <f>SUM(D38:D48)</f>
        <v>884</v>
      </c>
      <c r="E49" s="53"/>
      <c r="F49" s="53">
        <f>SUM(F38:F48)</f>
        <v>10608</v>
      </c>
      <c r="G49" s="101"/>
      <c r="H49" s="53">
        <f>SUM(H38:H48)</f>
        <v>3305376</v>
      </c>
      <c r="I49" s="53">
        <f>SUM(I38:I48)</f>
        <v>2074229.9693411079</v>
      </c>
      <c r="J49" s="73"/>
      <c r="K49" s="73"/>
      <c r="L49" s="73"/>
      <c r="M49" s="73"/>
      <c r="N49" s="73"/>
      <c r="O49" s="118">
        <f>SUM(O38:O48)</f>
        <v>516415.32000000007</v>
      </c>
      <c r="P49" s="118">
        <f>SUM(P38:P48)</f>
        <v>532002.87964247516</v>
      </c>
      <c r="Q49" s="118">
        <f>SUM(Q38:Q48)</f>
        <v>-15587.559642475197</v>
      </c>
      <c r="R49" s="118"/>
      <c r="S49" s="118">
        <f>SUM(S38:S48)</f>
        <v>532002.87964247516</v>
      </c>
      <c r="T49" s="118">
        <f>SUM(T38:T48)</f>
        <v>15587.559642475197</v>
      </c>
    </row>
    <row r="50" spans="1:22">
      <c r="C50" s="64" t="s">
        <v>3</v>
      </c>
      <c r="D50" s="65">
        <f>D13+D37+D49</f>
        <v>13116</v>
      </c>
      <c r="E50" s="65"/>
      <c r="F50" s="65">
        <f>F13+F37+F49</f>
        <v>597256</v>
      </c>
      <c r="G50" s="102"/>
      <c r="H50" s="65">
        <f>H13+H37+H49</f>
        <v>32130426</v>
      </c>
      <c r="I50" s="65">
        <f>I13+I37+I49</f>
        <v>20162877.850173999</v>
      </c>
      <c r="J50" s="67"/>
      <c r="K50" s="75"/>
      <c r="L50" s="75"/>
      <c r="M50" s="75"/>
      <c r="N50" s="75"/>
      <c r="O50" s="65">
        <f>O13+O37+O49</f>
        <v>3755637.9699999997</v>
      </c>
      <c r="P50" s="65">
        <f>P13+P37+P49</f>
        <v>3907159.2890914241</v>
      </c>
      <c r="Q50" s="65">
        <f>Q13+Q37+Q49</f>
        <v>-151521.31909142426</v>
      </c>
      <c r="R50" s="65"/>
      <c r="S50" s="65">
        <f>S13+S37+S49</f>
        <v>3907159.2890914241</v>
      </c>
      <c r="T50" s="65">
        <f>T13+T37+T49</f>
        <v>151521.31909142426</v>
      </c>
    </row>
    <row r="51" spans="1:22">
      <c r="J51" s="56"/>
      <c r="P51" s="61"/>
      <c r="T51" s="30">
        <f>T50/O50</f>
        <v>4.0345028009029386E-2</v>
      </c>
    </row>
    <row r="52" spans="1:22">
      <c r="J52" s="56"/>
      <c r="P52" s="61"/>
    </row>
    <row r="53" spans="1:22">
      <c r="A53" s="121"/>
      <c r="B53" s="122"/>
      <c r="C53" s="123" t="s">
        <v>126</v>
      </c>
      <c r="D53" s="124"/>
      <c r="E53" s="125"/>
      <c r="F53" s="125"/>
      <c r="G53" s="126"/>
      <c r="H53" s="125"/>
      <c r="I53" s="127"/>
      <c r="J53" s="128"/>
      <c r="K53" s="125"/>
      <c r="L53" s="125"/>
      <c r="M53" s="125"/>
      <c r="N53" s="125"/>
      <c r="O53" s="60"/>
      <c r="P53" s="90"/>
      <c r="Q53" s="60"/>
      <c r="R53" s="60"/>
      <c r="S53" s="60"/>
      <c r="T53" s="60"/>
      <c r="U53" s="60"/>
      <c r="V53" s="60"/>
    </row>
    <row r="54" spans="1:22" s="60" customFormat="1" ht="14.45" customHeight="1">
      <c r="A54" s="129"/>
      <c r="B54" s="120" t="s">
        <v>118</v>
      </c>
      <c r="C54" s="114" t="s">
        <v>112</v>
      </c>
      <c r="D54" s="130">
        <v>1</v>
      </c>
      <c r="E54" s="69">
        <f>References!$B$7</f>
        <v>4.333333333333333</v>
      </c>
      <c r="F54" s="131">
        <f>D54*E54*12</f>
        <v>52</v>
      </c>
      <c r="G54" s="278">
        <f>References!B18</f>
        <v>117</v>
      </c>
      <c r="H54" s="68">
        <f>G54*F54</f>
        <v>6084</v>
      </c>
      <c r="I54" s="47">
        <f>$D$130*H54</f>
        <v>3817.9060819317683</v>
      </c>
      <c r="J54" s="67">
        <f>(References!$C$49*I54)</f>
        <v>27.985251580559822</v>
      </c>
      <c r="K54" s="67">
        <f>J54/References!$G$52</f>
        <v>28.691051446134736</v>
      </c>
      <c r="L54" s="67">
        <f t="shared" ref="L54:L76" si="90">IFERROR(K54/F54*E54,0)</f>
        <v>2.390920953844561</v>
      </c>
      <c r="M54" s="279">
        <v>60.44</v>
      </c>
      <c r="N54" s="275">
        <f>L54+M54</f>
        <v>62.830920953844561</v>
      </c>
      <c r="O54" s="67"/>
      <c r="P54" s="67"/>
      <c r="Q54" s="67"/>
      <c r="R54" s="67"/>
      <c r="S54" s="67"/>
      <c r="T54" s="67"/>
    </row>
    <row r="55" spans="1:22" s="60" customFormat="1" ht="14.45" customHeight="1">
      <c r="A55" s="129"/>
      <c r="B55" s="120" t="s">
        <v>118</v>
      </c>
      <c r="C55" s="114" t="s">
        <v>115</v>
      </c>
      <c r="D55" s="130">
        <v>1</v>
      </c>
      <c r="E55" s="69">
        <f>References!$B$7</f>
        <v>4.333333333333333</v>
      </c>
      <c r="F55" s="131">
        <f>D55*E55*12</f>
        <v>52</v>
      </c>
      <c r="G55" s="278">
        <f>References!B14</f>
        <v>34</v>
      </c>
      <c r="H55" s="68">
        <f>G55*F55</f>
        <v>1768</v>
      </c>
      <c r="I55" s="47">
        <f>$D$130*H55</f>
        <v>1109.4769810741891</v>
      </c>
      <c r="J55" s="67">
        <f>(References!$C$49*I55)</f>
        <v>8.1324662712737936</v>
      </c>
      <c r="K55" s="67">
        <f>J55/References!$G$52</f>
        <v>8.3375705057143659</v>
      </c>
      <c r="L55" s="67">
        <f t="shared" si="90"/>
        <v>0.69479754214286371</v>
      </c>
      <c r="M55" s="295">
        <v>14.49</v>
      </c>
      <c r="N55" s="67">
        <f>L55+M55</f>
        <v>15.184797542142864</v>
      </c>
      <c r="O55" s="67"/>
      <c r="P55" s="67"/>
      <c r="Q55" s="67"/>
      <c r="R55" s="67"/>
      <c r="S55" s="67"/>
      <c r="T55" s="67"/>
    </row>
    <row r="56" spans="1:22" s="60" customFormat="1">
      <c r="A56" s="296"/>
      <c r="B56" s="120" t="s">
        <v>118</v>
      </c>
      <c r="C56" s="114" t="s">
        <v>113</v>
      </c>
      <c r="D56" s="148">
        <v>1</v>
      </c>
      <c r="E56" s="69">
        <f>References!$B$7</f>
        <v>4.333333333333333</v>
      </c>
      <c r="F56" s="297">
        <f>D56*E56*12</f>
        <v>52</v>
      </c>
      <c r="G56" s="276">
        <f>References!$B$21</f>
        <v>47</v>
      </c>
      <c r="H56" s="68">
        <f t="shared" ref="H56:H96" si="91">G56*F56</f>
        <v>2444</v>
      </c>
      <c r="I56" s="47">
        <f>$D$130*H56</f>
        <v>1533.6887679554966</v>
      </c>
      <c r="J56" s="67">
        <f>(References!$C$49*I56)</f>
        <v>11.241938669113773</v>
      </c>
      <c r="K56" s="67">
        <f>J56/References!$G$52</f>
        <v>11.525465110840448</v>
      </c>
      <c r="L56" s="67">
        <f t="shared" si="90"/>
        <v>0.96045542590337063</v>
      </c>
      <c r="M56" s="279">
        <v>24.48</v>
      </c>
      <c r="N56" s="275">
        <f t="shared" ref="N56:N57" si="92">L56+M56</f>
        <v>25.44045542590337</v>
      </c>
      <c r="O56" s="67"/>
      <c r="P56" s="67"/>
      <c r="Q56" s="67"/>
      <c r="R56" s="67"/>
      <c r="S56" s="67"/>
      <c r="T56" s="67"/>
    </row>
    <row r="57" spans="1:22" s="60" customFormat="1">
      <c r="A57" s="296"/>
      <c r="B57" s="120" t="s">
        <v>118</v>
      </c>
      <c r="C57" s="114" t="s">
        <v>114</v>
      </c>
      <c r="D57" s="148">
        <v>1</v>
      </c>
      <c r="E57" s="69">
        <f>References!$B$7</f>
        <v>4.333333333333333</v>
      </c>
      <c r="F57" s="297">
        <f t="shared" ref="F57" si="93">D57*E57*12</f>
        <v>52</v>
      </c>
      <c r="G57" s="276">
        <f>References!$B$22</f>
        <v>68</v>
      </c>
      <c r="H57" s="68">
        <f t="shared" si="91"/>
        <v>3536</v>
      </c>
      <c r="I57" s="47">
        <f>$D$130*H57</f>
        <v>2218.9539621483782</v>
      </c>
      <c r="J57" s="67">
        <f>(References!$C$49*I57)</f>
        <v>16.264932542547587</v>
      </c>
      <c r="K57" s="67">
        <f>J57/References!$G$52</f>
        <v>16.675141011428732</v>
      </c>
      <c r="L57" s="67">
        <f t="shared" si="90"/>
        <v>1.3895950842857274</v>
      </c>
      <c r="M57" s="295">
        <v>35.869999999999997</v>
      </c>
      <c r="N57" s="67">
        <f t="shared" si="92"/>
        <v>37.259595084285728</v>
      </c>
      <c r="O57" s="67"/>
      <c r="P57" s="67"/>
      <c r="Q57" s="67"/>
      <c r="R57" s="67"/>
      <c r="S57" s="67"/>
      <c r="T57" s="67"/>
    </row>
    <row r="58" spans="1:22" s="60" customFormat="1">
      <c r="A58" s="129"/>
      <c r="B58" s="120" t="s">
        <v>116</v>
      </c>
      <c r="C58" s="114" t="s">
        <v>117</v>
      </c>
      <c r="D58" s="130">
        <v>1</v>
      </c>
      <c r="E58" s="69">
        <v>1</v>
      </c>
      <c r="F58" s="131">
        <f>D58*E58*12</f>
        <v>12</v>
      </c>
      <c r="G58" s="278">
        <f>References!B24</f>
        <v>34</v>
      </c>
      <c r="H58" s="68">
        <f>G58*F58</f>
        <v>408</v>
      </c>
      <c r="I58" s="47">
        <f>$D$130*H58</f>
        <v>256.03314947865903</v>
      </c>
      <c r="J58" s="67">
        <f>(References!$C$49*I58)</f>
        <v>1.8767229856785679</v>
      </c>
      <c r="K58" s="67">
        <f>J58/References!$G$52</f>
        <v>1.9240547320879309</v>
      </c>
      <c r="L58" s="67">
        <f t="shared" si="90"/>
        <v>0.1603378943406609</v>
      </c>
      <c r="M58" s="295">
        <v>4.38</v>
      </c>
      <c r="N58" s="67">
        <f>L58+M58</f>
        <v>4.5403378943406612</v>
      </c>
      <c r="O58" s="67"/>
      <c r="P58" s="67"/>
      <c r="Q58" s="67"/>
      <c r="R58" s="67"/>
      <c r="S58" s="67"/>
      <c r="T58" s="67"/>
    </row>
    <row r="59" spans="1:22" s="60" customFormat="1">
      <c r="A59" s="129"/>
      <c r="B59" s="120" t="s">
        <v>116</v>
      </c>
      <c r="C59" s="114" t="s">
        <v>283</v>
      </c>
      <c r="D59" s="130">
        <v>1</v>
      </c>
      <c r="E59" s="69">
        <v>1</v>
      </c>
      <c r="F59" s="131">
        <f>D59*E59*12</f>
        <v>12</v>
      </c>
      <c r="G59" s="278">
        <f>References!B24</f>
        <v>34</v>
      </c>
      <c r="H59" s="68">
        <f t="shared" ref="H59:H61" si="94">G59*F59</f>
        <v>408</v>
      </c>
      <c r="I59" s="47">
        <f t="shared" ref="I59:I61" si="95">$D$130*H59</f>
        <v>256.03314947865903</v>
      </c>
      <c r="J59" s="67">
        <f>(References!$C$49*I59)</f>
        <v>1.8767229856785679</v>
      </c>
      <c r="K59" s="67">
        <f>J59/References!$G$52</f>
        <v>1.9240547320879309</v>
      </c>
      <c r="L59" s="67">
        <f t="shared" ref="L59:L61" si="96">IFERROR(K59/F59*E59,0)</f>
        <v>0.1603378943406609</v>
      </c>
      <c r="M59" s="295">
        <v>4.38</v>
      </c>
      <c r="N59" s="67">
        <f t="shared" ref="N59:N61" si="97">L59+M59</f>
        <v>4.5403378943406612</v>
      </c>
      <c r="O59" s="67"/>
      <c r="P59" s="67"/>
      <c r="Q59" s="67"/>
      <c r="R59" s="67"/>
      <c r="S59" s="67"/>
      <c r="T59" s="67"/>
    </row>
    <row r="60" spans="1:22" s="60" customFormat="1">
      <c r="A60" s="129"/>
      <c r="B60" s="120" t="s">
        <v>120</v>
      </c>
      <c r="C60" s="114" t="s">
        <v>117</v>
      </c>
      <c r="D60" s="130">
        <v>1</v>
      </c>
      <c r="E60" s="69">
        <v>1</v>
      </c>
      <c r="F60" s="131">
        <f>D60*E60*12</f>
        <v>12</v>
      </c>
      <c r="G60" s="278">
        <f>References!B24</f>
        <v>34</v>
      </c>
      <c r="H60" s="68">
        <f t="shared" si="94"/>
        <v>408</v>
      </c>
      <c r="I60" s="47">
        <f t="shared" si="95"/>
        <v>256.03314947865903</v>
      </c>
      <c r="J60" s="67">
        <f>(References!$C$49*I60)</f>
        <v>1.8767229856785679</v>
      </c>
      <c r="K60" s="67">
        <f>J60/References!$G$52</f>
        <v>1.9240547320879309</v>
      </c>
      <c r="L60" s="67">
        <f t="shared" si="96"/>
        <v>0.1603378943406609</v>
      </c>
      <c r="M60" s="295">
        <v>4.38</v>
      </c>
      <c r="N60" s="67">
        <f t="shared" si="97"/>
        <v>4.5403378943406612</v>
      </c>
      <c r="O60" s="67"/>
      <c r="P60" s="67"/>
      <c r="Q60" s="67"/>
      <c r="R60" s="67"/>
      <c r="S60" s="67"/>
      <c r="T60" s="67"/>
    </row>
    <row r="61" spans="1:22" s="60" customFormat="1">
      <c r="A61" s="129"/>
      <c r="B61" s="120" t="s">
        <v>120</v>
      </c>
      <c r="C61" s="114" t="s">
        <v>283</v>
      </c>
      <c r="D61" s="130">
        <v>1</v>
      </c>
      <c r="E61" s="69">
        <v>1</v>
      </c>
      <c r="F61" s="131">
        <f>D61*E61*12</f>
        <v>12</v>
      </c>
      <c r="G61" s="278">
        <f>References!B24</f>
        <v>34</v>
      </c>
      <c r="H61" s="68">
        <f t="shared" si="94"/>
        <v>408</v>
      </c>
      <c r="I61" s="47">
        <f t="shared" si="95"/>
        <v>256.03314947865903</v>
      </c>
      <c r="J61" s="67">
        <f>(References!$C$49*I61)</f>
        <v>1.8767229856785679</v>
      </c>
      <c r="K61" s="67">
        <f>J61/References!$G$52</f>
        <v>1.9240547320879309</v>
      </c>
      <c r="L61" s="67">
        <f t="shared" si="96"/>
        <v>0.1603378943406609</v>
      </c>
      <c r="M61" s="295">
        <v>4.38</v>
      </c>
      <c r="N61" s="67">
        <f t="shared" si="97"/>
        <v>4.5403378943406612</v>
      </c>
      <c r="O61" s="67"/>
      <c r="P61" s="67"/>
      <c r="Q61" s="67"/>
      <c r="R61" s="67"/>
      <c r="S61" s="67"/>
      <c r="T61" s="67"/>
    </row>
    <row r="62" spans="1:22" s="60" customFormat="1" ht="45">
      <c r="A62" s="129"/>
      <c r="B62" s="147" t="s">
        <v>131</v>
      </c>
      <c r="C62" s="114"/>
      <c r="D62" s="130"/>
      <c r="E62" s="69"/>
      <c r="F62" s="131"/>
      <c r="G62" s="132"/>
      <c r="H62" s="68"/>
      <c r="I62" s="47"/>
      <c r="J62" s="67"/>
      <c r="K62" s="67"/>
      <c r="L62" s="67"/>
      <c r="M62" s="153"/>
      <c r="N62" s="67"/>
      <c r="O62" s="67"/>
      <c r="P62" s="67"/>
      <c r="Q62" s="67"/>
      <c r="R62" s="67"/>
      <c r="S62" s="67"/>
      <c r="T62" s="67"/>
    </row>
    <row r="63" spans="1:22" s="60" customFormat="1">
      <c r="A63" s="129"/>
      <c r="B63" s="281" t="s">
        <v>119</v>
      </c>
      <c r="C63" s="282" t="s">
        <v>232</v>
      </c>
      <c r="D63" s="315">
        <v>415</v>
      </c>
      <c r="E63" s="283">
        <f>References!$B$7</f>
        <v>4.333333333333333</v>
      </c>
      <c r="F63" s="284">
        <f>D63*E63*12</f>
        <v>21580</v>
      </c>
      <c r="G63" s="285">
        <f>References!B13</f>
        <v>20</v>
      </c>
      <c r="H63" s="286">
        <f t="shared" ref="H63:H75" si="98">G63*F63</f>
        <v>431600</v>
      </c>
      <c r="I63" s="287">
        <f t="shared" ref="I63:I94" si="99">$D$130*H63</f>
        <v>270842.9100857579</v>
      </c>
      <c r="J63" s="288">
        <f>(References!$C$49*I63)</f>
        <v>1985.2785309286025</v>
      </c>
      <c r="K63" s="288">
        <f>J63/References!$G$52</f>
        <v>2035.3480940420366</v>
      </c>
      <c r="L63" s="288">
        <f t="shared" si="90"/>
        <v>0.40870443655462579</v>
      </c>
      <c r="M63" s="289">
        <v>9</v>
      </c>
      <c r="N63" s="288">
        <f t="shared" ref="N63:N73" si="100">L63+M63</f>
        <v>9.4087044365546255</v>
      </c>
      <c r="O63" s="288" t="s">
        <v>288</v>
      </c>
      <c r="P63" s="67"/>
      <c r="Q63" s="67"/>
      <c r="R63" s="67"/>
      <c r="S63" s="67"/>
      <c r="T63" s="67"/>
    </row>
    <row r="64" spans="1:22" s="60" customFormat="1">
      <c r="A64" s="129"/>
      <c r="B64" s="281" t="s">
        <v>119</v>
      </c>
      <c r="C64" s="282" t="s">
        <v>100</v>
      </c>
      <c r="D64" s="315">
        <v>1717</v>
      </c>
      <c r="E64" s="283">
        <f>References!$B$7</f>
        <v>4.333333333333333</v>
      </c>
      <c r="F64" s="284">
        <f t="shared" ref="F64:F115" si="101">D64*E64*12</f>
        <v>89284</v>
      </c>
      <c r="G64" s="285">
        <f>References!B14</f>
        <v>34</v>
      </c>
      <c r="H64" s="286">
        <f t="shared" si="98"/>
        <v>3035656</v>
      </c>
      <c r="I64" s="287">
        <f t="shared" si="99"/>
        <v>1904971.9765043827</v>
      </c>
      <c r="J64" s="288">
        <f>(References!$C$49*I64)</f>
        <v>13963.444587777105</v>
      </c>
      <c r="K64" s="288">
        <f>J64/References!$G$52</f>
        <v>14315.608558311569</v>
      </c>
      <c r="L64" s="288">
        <f t="shared" si="90"/>
        <v>0.69479754214286393</v>
      </c>
      <c r="M64" s="289">
        <v>14.49</v>
      </c>
      <c r="N64" s="288">
        <f t="shared" si="100"/>
        <v>15.184797542142864</v>
      </c>
      <c r="O64" s="288" t="s">
        <v>288</v>
      </c>
      <c r="P64" s="67"/>
      <c r="Q64" s="67"/>
      <c r="R64" s="67"/>
      <c r="S64" s="67"/>
      <c r="T64" s="67"/>
    </row>
    <row r="65" spans="1:20" s="60" customFormat="1">
      <c r="A65" s="129"/>
      <c r="B65" s="281" t="s">
        <v>119</v>
      </c>
      <c r="C65" s="282" t="s">
        <v>101</v>
      </c>
      <c r="D65" s="315">
        <v>92</v>
      </c>
      <c r="E65" s="283">
        <f>References!$B$7</f>
        <v>4.333333333333333</v>
      </c>
      <c r="F65" s="284">
        <f t="shared" si="101"/>
        <v>4784</v>
      </c>
      <c r="G65" s="285">
        <f>References!B15</f>
        <v>51</v>
      </c>
      <c r="H65" s="286">
        <f t="shared" si="98"/>
        <v>243984</v>
      </c>
      <c r="I65" s="287">
        <f t="shared" si="99"/>
        <v>153107.82338823809</v>
      </c>
      <c r="J65" s="288">
        <f>(References!$C$49*I65)</f>
        <v>1122.2803454357836</v>
      </c>
      <c r="K65" s="288">
        <f>J65/References!$G$52</f>
        <v>1150.5847297885828</v>
      </c>
      <c r="L65" s="288">
        <f t="shared" si="90"/>
        <v>1.042196313214296</v>
      </c>
      <c r="M65" s="289">
        <v>24.47</v>
      </c>
      <c r="N65" s="288">
        <f t="shared" si="100"/>
        <v>25.512196313214297</v>
      </c>
      <c r="O65" s="288" t="s">
        <v>288</v>
      </c>
      <c r="P65" s="67"/>
      <c r="Q65" s="67"/>
      <c r="R65" s="67"/>
      <c r="S65" s="67"/>
      <c r="T65" s="67"/>
    </row>
    <row r="66" spans="1:20" s="60" customFormat="1">
      <c r="A66" s="129"/>
      <c r="B66" s="281" t="s">
        <v>119</v>
      </c>
      <c r="C66" s="282" t="s">
        <v>102</v>
      </c>
      <c r="D66" s="315">
        <v>2</v>
      </c>
      <c r="E66" s="283">
        <f>References!$B$7</f>
        <v>4.333333333333333</v>
      </c>
      <c r="F66" s="284">
        <f t="shared" si="101"/>
        <v>104</v>
      </c>
      <c r="G66" s="285">
        <f>References!B16</f>
        <v>77</v>
      </c>
      <c r="H66" s="286">
        <f t="shared" si="98"/>
        <v>8008</v>
      </c>
      <c r="I66" s="287">
        <f t="shared" si="99"/>
        <v>5025.2780907477973</v>
      </c>
      <c r="J66" s="288">
        <f>(References!$C$49*I66)</f>
        <v>36.835288405181302</v>
      </c>
      <c r="K66" s="288">
        <f>J66/References!$G$52</f>
        <v>37.764289937647426</v>
      </c>
      <c r="L66" s="288">
        <f t="shared" si="90"/>
        <v>1.5735120807353093</v>
      </c>
      <c r="M66" s="289">
        <v>35.869999999999997</v>
      </c>
      <c r="N66" s="288">
        <f t="shared" si="100"/>
        <v>37.44351208073531</v>
      </c>
      <c r="O66" s="288" t="s">
        <v>288</v>
      </c>
      <c r="P66" s="67"/>
      <c r="Q66" s="67"/>
      <c r="R66" s="67"/>
      <c r="S66" s="67"/>
      <c r="T66" s="67"/>
    </row>
    <row r="67" spans="1:20" s="60" customFormat="1">
      <c r="A67" s="129"/>
      <c r="B67" s="281" t="s">
        <v>119</v>
      </c>
      <c r="C67" s="282" t="s">
        <v>103</v>
      </c>
      <c r="D67" s="315">
        <v>1</v>
      </c>
      <c r="E67" s="283">
        <f>References!$B$7</f>
        <v>4.333333333333333</v>
      </c>
      <c r="F67" s="284">
        <f t="shared" si="101"/>
        <v>52</v>
      </c>
      <c r="G67" s="285">
        <f>References!B17</f>
        <v>97</v>
      </c>
      <c r="H67" s="286">
        <f t="shared" si="98"/>
        <v>5044</v>
      </c>
      <c r="I67" s="287">
        <f t="shared" si="99"/>
        <v>3165.2725636528335</v>
      </c>
      <c r="J67" s="288">
        <f>(References!$C$49*I67)</f>
        <v>23.201447891575235</v>
      </c>
      <c r="K67" s="288">
        <f>J67/References!$G$52</f>
        <v>23.786598207479223</v>
      </c>
      <c r="L67" s="288">
        <f t="shared" si="90"/>
        <v>1.9822165172899351</v>
      </c>
      <c r="M67" s="289">
        <v>47.95</v>
      </c>
      <c r="N67" s="288">
        <f t="shared" si="100"/>
        <v>49.932216517289937</v>
      </c>
      <c r="O67" s="288" t="s">
        <v>288</v>
      </c>
      <c r="P67" s="67"/>
      <c r="Q67" s="67"/>
      <c r="R67" s="67"/>
      <c r="S67" s="67"/>
      <c r="T67" s="67"/>
    </row>
    <row r="68" spans="1:20" s="60" customFormat="1">
      <c r="A68" s="129"/>
      <c r="B68" s="281" t="s">
        <v>119</v>
      </c>
      <c r="C68" s="282" t="s">
        <v>112</v>
      </c>
      <c r="D68" s="315">
        <v>1</v>
      </c>
      <c r="E68" s="283">
        <f>References!$B$7</f>
        <v>4.333333333333333</v>
      </c>
      <c r="F68" s="284">
        <f t="shared" si="101"/>
        <v>52</v>
      </c>
      <c r="G68" s="285">
        <f>References!B18</f>
        <v>117</v>
      </c>
      <c r="H68" s="286">
        <f t="shared" si="98"/>
        <v>6084</v>
      </c>
      <c r="I68" s="287">
        <f t="shared" si="99"/>
        <v>3817.9060819317683</v>
      </c>
      <c r="J68" s="288">
        <f>(References!$C$49*I68)</f>
        <v>27.985251580559822</v>
      </c>
      <c r="K68" s="288">
        <f>J68/References!$G$52</f>
        <v>28.691051446134736</v>
      </c>
      <c r="L68" s="288">
        <f t="shared" si="90"/>
        <v>2.390920953844561</v>
      </c>
      <c r="M68" s="289">
        <v>60.43</v>
      </c>
      <c r="N68" s="288">
        <f t="shared" si="100"/>
        <v>62.820920953844563</v>
      </c>
      <c r="O68" s="288" t="s">
        <v>288</v>
      </c>
      <c r="P68" s="67"/>
      <c r="Q68" s="67"/>
      <c r="R68" s="67"/>
      <c r="S68" s="67"/>
      <c r="T68" s="67"/>
    </row>
    <row r="69" spans="1:20" s="60" customFormat="1">
      <c r="A69" s="129"/>
      <c r="B69" s="281" t="s">
        <v>119</v>
      </c>
      <c r="C69" s="282" t="s">
        <v>98</v>
      </c>
      <c r="D69" s="315">
        <v>27</v>
      </c>
      <c r="E69" s="283">
        <f>References!B9</f>
        <v>1</v>
      </c>
      <c r="F69" s="284">
        <f t="shared" si="101"/>
        <v>324</v>
      </c>
      <c r="G69" s="285">
        <f>G64</f>
        <v>34</v>
      </c>
      <c r="H69" s="286">
        <f t="shared" si="98"/>
        <v>11016</v>
      </c>
      <c r="I69" s="287">
        <f t="shared" si="99"/>
        <v>6912.8950359237933</v>
      </c>
      <c r="J69" s="288">
        <f>(References!$C$49*I69)</f>
        <v>50.671520613321334</v>
      </c>
      <c r="K69" s="288">
        <f>J69/References!$G$52</f>
        <v>51.949477766374137</v>
      </c>
      <c r="L69" s="288">
        <f t="shared" si="90"/>
        <v>0.16033789434066092</v>
      </c>
      <c r="M69" s="289">
        <v>5.09</v>
      </c>
      <c r="N69" s="288">
        <f>N7</f>
        <v>5.2503378943406611</v>
      </c>
      <c r="O69" s="288" t="s">
        <v>288</v>
      </c>
      <c r="P69" s="67"/>
      <c r="Q69" s="67"/>
      <c r="R69" s="67"/>
      <c r="S69" s="67"/>
      <c r="T69" s="67"/>
    </row>
    <row r="70" spans="1:20" s="60" customFormat="1">
      <c r="A70" s="129"/>
      <c r="B70" s="281" t="s">
        <v>119</v>
      </c>
      <c r="C70" s="282" t="s">
        <v>104</v>
      </c>
      <c r="D70" s="315">
        <v>101</v>
      </c>
      <c r="E70" s="283">
        <f>References!$B$7</f>
        <v>4.333333333333333</v>
      </c>
      <c r="F70" s="284">
        <f t="shared" si="101"/>
        <v>5252</v>
      </c>
      <c r="G70" s="285">
        <f>G8</f>
        <v>34</v>
      </c>
      <c r="H70" s="286">
        <f t="shared" si="98"/>
        <v>178568</v>
      </c>
      <c r="I70" s="287">
        <f t="shared" si="99"/>
        <v>112057.1750884931</v>
      </c>
      <c r="J70" s="288">
        <f>(References!$C$49*I70)</f>
        <v>821.37909339865314</v>
      </c>
      <c r="K70" s="288">
        <f>J70/References!$G$52</f>
        <v>842.09462107715103</v>
      </c>
      <c r="L70" s="288">
        <f t="shared" si="90"/>
        <v>0.69479754214286382</v>
      </c>
      <c r="M70" s="289">
        <v>14.49</v>
      </c>
      <c r="N70" s="288">
        <f t="shared" si="100"/>
        <v>15.184797542142864</v>
      </c>
      <c r="O70" s="288" t="s">
        <v>288</v>
      </c>
      <c r="P70" s="67"/>
      <c r="Q70" s="67"/>
      <c r="R70" s="67"/>
      <c r="S70" s="67"/>
      <c r="T70" s="67"/>
    </row>
    <row r="71" spans="1:20" s="60" customFormat="1">
      <c r="A71" s="129"/>
      <c r="B71" s="281" t="s">
        <v>119</v>
      </c>
      <c r="C71" s="282" t="s">
        <v>105</v>
      </c>
      <c r="D71" s="315">
        <v>866</v>
      </c>
      <c r="E71" s="283">
        <f>References!$B$7</f>
        <v>4.333333333333333</v>
      </c>
      <c r="F71" s="284">
        <f t="shared" si="101"/>
        <v>45032</v>
      </c>
      <c r="G71" s="285">
        <f>G9</f>
        <v>47</v>
      </c>
      <c r="H71" s="286">
        <f t="shared" si="98"/>
        <v>2116504</v>
      </c>
      <c r="I71" s="287">
        <f t="shared" si="99"/>
        <v>1328174.4730494602</v>
      </c>
      <c r="J71" s="288">
        <f>(References!$C$49*I71)</f>
        <v>9735.5188874525284</v>
      </c>
      <c r="K71" s="288">
        <f>J71/References!$G$52</f>
        <v>9981.0527859878293</v>
      </c>
      <c r="L71" s="288">
        <f t="shared" si="90"/>
        <v>0.96045542590337074</v>
      </c>
      <c r="M71" s="289">
        <v>24.28</v>
      </c>
      <c r="N71" s="288">
        <f t="shared" si="100"/>
        <v>25.24045542590337</v>
      </c>
      <c r="O71" s="288" t="s">
        <v>288</v>
      </c>
      <c r="P71" s="67"/>
      <c r="Q71" s="67"/>
      <c r="R71" s="67"/>
      <c r="S71" s="67"/>
      <c r="T71" s="67"/>
    </row>
    <row r="72" spans="1:20" s="60" customFormat="1">
      <c r="A72" s="129"/>
      <c r="B72" s="281" t="s">
        <v>119</v>
      </c>
      <c r="C72" s="282" t="s">
        <v>130</v>
      </c>
      <c r="D72" s="315">
        <v>125</v>
      </c>
      <c r="E72" s="283">
        <f>References!$B$7</f>
        <v>4.333333333333333</v>
      </c>
      <c r="F72" s="284">
        <f t="shared" si="101"/>
        <v>6500</v>
      </c>
      <c r="G72" s="285">
        <f>G10</f>
        <v>68</v>
      </c>
      <c r="H72" s="286">
        <f t="shared" si="98"/>
        <v>442000</v>
      </c>
      <c r="I72" s="287">
        <f t="shared" si="99"/>
        <v>277369.24526854727</v>
      </c>
      <c r="J72" s="288">
        <f>(References!$C$49*I72)</f>
        <v>2033.1165678184484</v>
      </c>
      <c r="K72" s="288">
        <f>J72/References!$G$52</f>
        <v>2084.3926264285915</v>
      </c>
      <c r="L72" s="288">
        <f t="shared" si="90"/>
        <v>1.3895950842857276</v>
      </c>
      <c r="M72" s="289">
        <v>35.43</v>
      </c>
      <c r="N72" s="288">
        <f t="shared" si="100"/>
        <v>36.81959508428573</v>
      </c>
      <c r="O72" s="288" t="s">
        <v>288</v>
      </c>
      <c r="P72" s="67"/>
      <c r="Q72" s="67"/>
      <c r="R72" s="67"/>
      <c r="S72" s="67"/>
      <c r="T72" s="67"/>
    </row>
    <row r="73" spans="1:20" s="60" customFormat="1">
      <c r="A73" s="129"/>
      <c r="B73" s="120" t="s">
        <v>119</v>
      </c>
      <c r="C73" s="114" t="s">
        <v>115</v>
      </c>
      <c r="D73" s="148">
        <v>1</v>
      </c>
      <c r="E73" s="69">
        <f>References!$B$7</f>
        <v>4.333333333333333</v>
      </c>
      <c r="F73" s="298">
        <f t="shared" si="101"/>
        <v>52</v>
      </c>
      <c r="G73" s="278">
        <f>G55</f>
        <v>34</v>
      </c>
      <c r="H73" s="68">
        <f t="shared" si="98"/>
        <v>1768</v>
      </c>
      <c r="I73" s="47">
        <f t="shared" si="99"/>
        <v>1109.4769810741891</v>
      </c>
      <c r="J73" s="67">
        <f>(References!$C$49*I73)</f>
        <v>8.1324662712737936</v>
      </c>
      <c r="K73" s="67">
        <f>J73/References!$G$52</f>
        <v>8.3375705057143659</v>
      </c>
      <c r="L73" s="67">
        <f t="shared" si="90"/>
        <v>0.69479754214286371</v>
      </c>
      <c r="M73" s="295">
        <v>14.49</v>
      </c>
      <c r="N73" s="67">
        <f t="shared" si="100"/>
        <v>15.184797542142864</v>
      </c>
      <c r="O73" s="67"/>
      <c r="P73" s="67"/>
      <c r="Q73" s="67"/>
      <c r="R73" s="67"/>
      <c r="S73" s="67"/>
      <c r="T73" s="67"/>
    </row>
    <row r="74" spans="1:20" s="60" customFormat="1">
      <c r="A74" s="129"/>
      <c r="B74" s="120" t="s">
        <v>119</v>
      </c>
      <c r="C74" s="114" t="s">
        <v>113</v>
      </c>
      <c r="D74" s="148">
        <v>1</v>
      </c>
      <c r="E74" s="69">
        <f>References!$B$7</f>
        <v>4.333333333333333</v>
      </c>
      <c r="F74" s="298">
        <f t="shared" si="101"/>
        <v>52</v>
      </c>
      <c r="G74" s="276">
        <f>References!$B$21</f>
        <v>47</v>
      </c>
      <c r="H74" s="68">
        <f t="shared" si="98"/>
        <v>2444</v>
      </c>
      <c r="I74" s="47">
        <f t="shared" si="99"/>
        <v>1533.6887679554966</v>
      </c>
      <c r="J74" s="67">
        <f>(References!$C$49*I74)</f>
        <v>11.241938669113773</v>
      </c>
      <c r="K74" s="67">
        <f>J74/References!$G$52</f>
        <v>11.525465110840448</v>
      </c>
      <c r="L74" s="67">
        <f t="shared" si="90"/>
        <v>0.96045542590337063</v>
      </c>
      <c r="M74" s="279">
        <v>24.48</v>
      </c>
      <c r="N74" s="275">
        <f>N65</f>
        <v>25.512196313214297</v>
      </c>
      <c r="O74" s="67"/>
      <c r="P74" s="67"/>
      <c r="Q74" s="67"/>
      <c r="R74" s="67"/>
      <c r="S74" s="67"/>
      <c r="T74" s="67"/>
    </row>
    <row r="75" spans="1:20" s="60" customFormat="1">
      <c r="A75" s="129"/>
      <c r="B75" s="120" t="s">
        <v>119</v>
      </c>
      <c r="C75" s="114" t="s">
        <v>114</v>
      </c>
      <c r="D75" s="148">
        <v>1</v>
      </c>
      <c r="E75" s="69">
        <f>References!$B$7</f>
        <v>4.333333333333333</v>
      </c>
      <c r="F75" s="298">
        <f t="shared" si="101"/>
        <v>52</v>
      </c>
      <c r="G75" s="276">
        <f>References!$B$22</f>
        <v>68</v>
      </c>
      <c r="H75" s="68">
        <f t="shared" si="98"/>
        <v>3536</v>
      </c>
      <c r="I75" s="47">
        <f t="shared" si="99"/>
        <v>2218.9539621483782</v>
      </c>
      <c r="J75" s="67">
        <f>(References!$C$49*I75)</f>
        <v>16.264932542547587</v>
      </c>
      <c r="K75" s="67">
        <f>J75/References!$G$52</f>
        <v>16.675141011428732</v>
      </c>
      <c r="L75" s="67">
        <f t="shared" si="90"/>
        <v>1.3895950842857274</v>
      </c>
      <c r="M75" s="295">
        <v>35.869999999999997</v>
      </c>
      <c r="N75" s="67">
        <f>N66</f>
        <v>37.44351208073531</v>
      </c>
      <c r="O75" s="67"/>
      <c r="P75" s="67"/>
      <c r="Q75" s="67"/>
      <c r="R75" s="67"/>
      <c r="S75" s="67"/>
      <c r="T75" s="67"/>
    </row>
    <row r="76" spans="1:20" s="60" customFormat="1">
      <c r="A76" s="129"/>
      <c r="B76" s="120" t="s">
        <v>109</v>
      </c>
      <c r="C76" s="114" t="s">
        <v>261</v>
      </c>
      <c r="D76" s="130">
        <v>1</v>
      </c>
      <c r="E76" s="69">
        <v>1</v>
      </c>
      <c r="F76" s="110">
        <f t="shared" si="101"/>
        <v>12</v>
      </c>
      <c r="G76" s="278">
        <f>References!B21</f>
        <v>47</v>
      </c>
      <c r="H76" s="68">
        <f t="shared" si="91"/>
        <v>564</v>
      </c>
      <c r="I76" s="47">
        <f t="shared" si="99"/>
        <v>353.92817722049926</v>
      </c>
      <c r="J76" s="67">
        <f>(References!$C$49*I76)</f>
        <v>2.594293539026256</v>
      </c>
      <c r="K76" s="67">
        <f>J76/References!$G$52</f>
        <v>2.6597227178862579</v>
      </c>
      <c r="L76" s="67">
        <f t="shared" si="90"/>
        <v>0.22164355982385484</v>
      </c>
      <c r="M76" s="295">
        <v>11.58</v>
      </c>
      <c r="N76" s="67">
        <f t="shared" ref="N76:N96" si="102">L76+M76</f>
        <v>11.801643559823855</v>
      </c>
      <c r="O76" s="67"/>
      <c r="P76" s="67"/>
      <c r="Q76" s="67"/>
      <c r="R76" s="67"/>
      <c r="S76" s="67"/>
      <c r="T76" s="67"/>
    </row>
    <row r="77" spans="1:20" s="60" customFormat="1">
      <c r="A77" s="129"/>
      <c r="B77" s="120" t="s">
        <v>109</v>
      </c>
      <c r="C77" s="114" t="s">
        <v>236</v>
      </c>
      <c r="D77" s="148">
        <v>1</v>
      </c>
      <c r="E77" s="69">
        <v>1</v>
      </c>
      <c r="F77" s="110">
        <f t="shared" si="101"/>
        <v>12</v>
      </c>
      <c r="G77" s="278">
        <f>G38</f>
        <v>34</v>
      </c>
      <c r="H77" s="68">
        <f t="shared" si="91"/>
        <v>408</v>
      </c>
      <c r="I77" s="47">
        <f t="shared" si="99"/>
        <v>256.03314947865903</v>
      </c>
      <c r="J77" s="67">
        <f>(References!$C$49*I77)</f>
        <v>1.8767229856785679</v>
      </c>
      <c r="K77" s="67">
        <f>J77/References!$G$52</f>
        <v>1.9240547320879309</v>
      </c>
      <c r="L77" s="67">
        <f t="shared" ref="L77:L86" si="103">IFERROR(K77/F77*E77,0)</f>
        <v>0.1603378943406609</v>
      </c>
      <c r="M77" s="295">
        <v>7.44</v>
      </c>
      <c r="N77" s="67">
        <f t="shared" si="102"/>
        <v>7.6003378943406616</v>
      </c>
      <c r="O77" s="67"/>
      <c r="P77" s="67"/>
      <c r="Q77" s="67"/>
      <c r="R77" s="67"/>
      <c r="S77" s="67"/>
      <c r="T77" s="67"/>
    </row>
    <row r="78" spans="1:20" s="60" customFormat="1">
      <c r="A78" s="129"/>
      <c r="B78" s="120" t="s">
        <v>109</v>
      </c>
      <c r="C78" s="114" t="s">
        <v>237</v>
      </c>
      <c r="D78" s="148">
        <v>1</v>
      </c>
      <c r="E78" s="69">
        <v>1</v>
      </c>
      <c r="F78" s="110">
        <f t="shared" si="101"/>
        <v>12</v>
      </c>
      <c r="G78" s="278">
        <f>G76</f>
        <v>47</v>
      </c>
      <c r="H78" s="68">
        <f t="shared" si="91"/>
        <v>564</v>
      </c>
      <c r="I78" s="47">
        <f t="shared" si="99"/>
        <v>353.92817722049926</v>
      </c>
      <c r="J78" s="67">
        <f>(References!$C$49*I78)</f>
        <v>2.594293539026256</v>
      </c>
      <c r="K78" s="67">
        <f>J78/References!$G$52</f>
        <v>2.6597227178862579</v>
      </c>
      <c r="L78" s="67">
        <f t="shared" si="103"/>
        <v>0.22164355982385484</v>
      </c>
      <c r="M78" s="295">
        <v>9.94</v>
      </c>
      <c r="N78" s="67">
        <f t="shared" si="102"/>
        <v>10.161643559823855</v>
      </c>
      <c r="O78" s="67"/>
      <c r="P78" s="67"/>
      <c r="Q78" s="67"/>
      <c r="R78" s="67"/>
      <c r="S78" s="67"/>
      <c r="T78" s="67"/>
    </row>
    <row r="79" spans="1:20" s="60" customFormat="1">
      <c r="A79" s="129"/>
      <c r="B79" s="120" t="s">
        <v>109</v>
      </c>
      <c r="C79" s="114" t="s">
        <v>238</v>
      </c>
      <c r="D79" s="148">
        <v>1</v>
      </c>
      <c r="E79" s="69">
        <v>1</v>
      </c>
      <c r="F79" s="110">
        <f t="shared" si="101"/>
        <v>12</v>
      </c>
      <c r="G79" s="278">
        <f>G39</f>
        <v>68</v>
      </c>
      <c r="H79" s="68">
        <f t="shared" si="91"/>
        <v>816</v>
      </c>
      <c r="I79" s="47">
        <f t="shared" si="99"/>
        <v>512.06629895731805</v>
      </c>
      <c r="J79" s="67">
        <f>(References!$C$49*I79)</f>
        <v>3.7534459713571358</v>
      </c>
      <c r="K79" s="67">
        <f>J79/References!$G$52</f>
        <v>3.8481094641758617</v>
      </c>
      <c r="L79" s="67">
        <f t="shared" si="103"/>
        <v>0.32067578868132179</v>
      </c>
      <c r="M79" s="295">
        <v>11.13</v>
      </c>
      <c r="N79" s="67">
        <f t="shared" si="102"/>
        <v>11.450675788681323</v>
      </c>
      <c r="O79" s="67"/>
      <c r="P79" s="67"/>
      <c r="Q79" s="67"/>
      <c r="R79" s="67"/>
      <c r="S79" s="67"/>
      <c r="T79" s="67"/>
    </row>
    <row r="80" spans="1:20" s="60" customFormat="1">
      <c r="A80" s="129"/>
      <c r="B80" s="120" t="s">
        <v>109</v>
      </c>
      <c r="C80" s="114" t="s">
        <v>247</v>
      </c>
      <c r="D80" s="148">
        <v>1</v>
      </c>
      <c r="E80" s="69">
        <v>1</v>
      </c>
      <c r="F80" s="110">
        <f t="shared" si="101"/>
        <v>12</v>
      </c>
      <c r="G80" s="278">
        <f t="shared" ref="G80:G86" si="104">G40</f>
        <v>175</v>
      </c>
      <c r="H80" s="68">
        <f t="shared" si="91"/>
        <v>2100</v>
      </c>
      <c r="I80" s="47">
        <f t="shared" si="99"/>
        <v>1317.8176811401568</v>
      </c>
      <c r="J80" s="67">
        <f>(References!$C$49*I80)</f>
        <v>9.6596036027573344</v>
      </c>
      <c r="K80" s="67">
        <f>J80/References!$G$52</f>
        <v>9.9032228857467022</v>
      </c>
      <c r="L80" s="67">
        <f t="shared" si="103"/>
        <v>0.82526857381222518</v>
      </c>
      <c r="M80" s="295">
        <v>27.42</v>
      </c>
      <c r="N80" s="67">
        <f t="shared" si="102"/>
        <v>28.245268573812226</v>
      </c>
      <c r="O80" s="67"/>
      <c r="P80" s="67"/>
      <c r="Q80" s="67"/>
      <c r="R80" s="67"/>
      <c r="S80" s="67"/>
      <c r="T80" s="67"/>
    </row>
    <row r="81" spans="1:20" s="60" customFormat="1">
      <c r="A81" s="129"/>
      <c r="B81" s="120" t="s">
        <v>109</v>
      </c>
      <c r="C81" s="114" t="s">
        <v>271</v>
      </c>
      <c r="D81" s="148">
        <v>1</v>
      </c>
      <c r="E81" s="69">
        <v>1</v>
      </c>
      <c r="F81" s="110">
        <f t="shared" si="101"/>
        <v>12</v>
      </c>
      <c r="G81" s="278">
        <f t="shared" si="104"/>
        <v>212.5</v>
      </c>
      <c r="H81" s="68">
        <f t="shared" si="91"/>
        <v>2550</v>
      </c>
      <c r="I81" s="47">
        <f t="shared" si="99"/>
        <v>1600.207184241619</v>
      </c>
      <c r="J81" s="67">
        <f>(References!$C$49*I81)</f>
        <v>11.729518660491049</v>
      </c>
      <c r="K81" s="67">
        <f>J81/References!$G$52</f>
        <v>12.025342075549569</v>
      </c>
      <c r="L81" s="67">
        <f t="shared" si="103"/>
        <v>1.0021118396291306</v>
      </c>
      <c r="M81" s="295">
        <v>29.58</v>
      </c>
      <c r="N81" s="67">
        <f t="shared" si="102"/>
        <v>30.582111839629128</v>
      </c>
      <c r="O81" s="67"/>
      <c r="P81" s="67"/>
      <c r="Q81" s="67"/>
      <c r="R81" s="67"/>
      <c r="S81" s="67"/>
      <c r="T81" s="67"/>
    </row>
    <row r="82" spans="1:20" s="60" customFormat="1">
      <c r="A82" s="129"/>
      <c r="B82" s="120" t="s">
        <v>109</v>
      </c>
      <c r="C82" s="114" t="s">
        <v>243</v>
      </c>
      <c r="D82" s="148">
        <v>1</v>
      </c>
      <c r="E82" s="69">
        <v>1</v>
      </c>
      <c r="F82" s="110">
        <f t="shared" si="101"/>
        <v>12</v>
      </c>
      <c r="G82" s="278">
        <f t="shared" si="104"/>
        <v>324</v>
      </c>
      <c r="H82" s="68">
        <f t="shared" si="91"/>
        <v>3888</v>
      </c>
      <c r="I82" s="47">
        <f t="shared" si="99"/>
        <v>2439.8453067966329</v>
      </c>
      <c r="J82" s="67">
        <f>(References!$C$49*I82)</f>
        <v>17.884066098819293</v>
      </c>
      <c r="K82" s="67">
        <f>J82/References!$G$52</f>
        <v>18.335109799896752</v>
      </c>
      <c r="L82" s="67">
        <f t="shared" si="103"/>
        <v>1.5279258166580627</v>
      </c>
      <c r="M82" s="279">
        <v>48.68</v>
      </c>
      <c r="N82" s="275">
        <f t="shared" si="102"/>
        <v>50.207925816658062</v>
      </c>
      <c r="O82" s="67"/>
      <c r="P82" s="67"/>
      <c r="Q82" s="67"/>
      <c r="R82" s="67"/>
      <c r="S82" s="67"/>
      <c r="T82" s="67"/>
    </row>
    <row r="83" spans="1:20" s="60" customFormat="1">
      <c r="A83" s="129"/>
      <c r="B83" s="120" t="s">
        <v>109</v>
      </c>
      <c r="C83" s="114" t="s">
        <v>121</v>
      </c>
      <c r="D83" s="148">
        <v>1</v>
      </c>
      <c r="E83" s="69">
        <v>1</v>
      </c>
      <c r="F83" s="110">
        <f t="shared" si="101"/>
        <v>12</v>
      </c>
      <c r="G83" s="278">
        <f t="shared" si="104"/>
        <v>473</v>
      </c>
      <c r="H83" s="68">
        <f t="shared" si="91"/>
        <v>5676</v>
      </c>
      <c r="I83" s="47">
        <f t="shared" si="99"/>
        <v>3561.8729324531096</v>
      </c>
      <c r="J83" s="67">
        <f>(References!$C$49*I83)</f>
        <v>26.108528594881253</v>
      </c>
      <c r="K83" s="67">
        <f>J83/References!$G$52</f>
        <v>26.766996714046805</v>
      </c>
      <c r="L83" s="67">
        <f t="shared" si="103"/>
        <v>2.2305830595039002</v>
      </c>
      <c r="M83" s="279">
        <v>69.3</v>
      </c>
      <c r="N83" s="275">
        <f t="shared" si="102"/>
        <v>71.530583059503897</v>
      </c>
      <c r="O83" s="67"/>
      <c r="P83" s="67"/>
      <c r="Q83" s="67"/>
      <c r="R83" s="67"/>
      <c r="S83" s="67"/>
      <c r="T83" s="67"/>
    </row>
    <row r="84" spans="1:20" s="60" customFormat="1">
      <c r="A84" s="129"/>
      <c r="B84" s="120" t="s">
        <v>109</v>
      </c>
      <c r="C84" s="114" t="s">
        <v>122</v>
      </c>
      <c r="D84" s="148">
        <v>1</v>
      </c>
      <c r="E84" s="69">
        <v>1</v>
      </c>
      <c r="F84" s="110">
        <f t="shared" si="101"/>
        <v>12</v>
      </c>
      <c r="G84" s="278">
        <f t="shared" si="104"/>
        <v>613</v>
      </c>
      <c r="H84" s="68">
        <f t="shared" si="91"/>
        <v>7356</v>
      </c>
      <c r="I84" s="47">
        <f t="shared" si="99"/>
        <v>4616.127077365235</v>
      </c>
      <c r="J84" s="67">
        <f>(References!$C$49*I84)</f>
        <v>33.836211477087126</v>
      </c>
      <c r="K84" s="67">
        <f>J84/References!$G$52</f>
        <v>34.689575022644171</v>
      </c>
      <c r="L84" s="67">
        <f t="shared" si="103"/>
        <v>2.8907979185536807</v>
      </c>
      <c r="M84" s="295">
        <v>91.2</v>
      </c>
      <c r="N84" s="67">
        <f t="shared" si="102"/>
        <v>94.09079791855369</v>
      </c>
      <c r="O84" s="67"/>
      <c r="P84" s="67"/>
      <c r="Q84" s="67"/>
      <c r="R84" s="67"/>
      <c r="S84" s="67"/>
      <c r="T84" s="67"/>
    </row>
    <row r="85" spans="1:20" s="60" customFormat="1">
      <c r="A85" s="129"/>
      <c r="B85" s="120" t="s">
        <v>109</v>
      </c>
      <c r="C85" s="114" t="s">
        <v>123</v>
      </c>
      <c r="D85" s="148">
        <v>1</v>
      </c>
      <c r="E85" s="69">
        <v>1</v>
      </c>
      <c r="F85" s="110">
        <f t="shared" si="101"/>
        <v>12</v>
      </c>
      <c r="G85" s="278">
        <f t="shared" si="104"/>
        <v>840</v>
      </c>
      <c r="H85" s="68">
        <f t="shared" si="91"/>
        <v>10080</v>
      </c>
      <c r="I85" s="47">
        <f t="shared" si="99"/>
        <v>6325.5248694727525</v>
      </c>
      <c r="J85" s="67">
        <f>(References!$C$49*I85)</f>
        <v>46.366097293235207</v>
      </c>
      <c r="K85" s="67">
        <f>J85/References!$G$52</f>
        <v>47.535469851584175</v>
      </c>
      <c r="L85" s="67">
        <f t="shared" si="103"/>
        <v>3.9612891542986812</v>
      </c>
      <c r="M85" s="295">
        <v>136.54</v>
      </c>
      <c r="N85" s="67">
        <f t="shared" si="102"/>
        <v>140.50128915429866</v>
      </c>
      <c r="O85" s="67"/>
      <c r="P85" s="67"/>
      <c r="Q85" s="67"/>
      <c r="R85" s="67"/>
      <c r="S85" s="67"/>
      <c r="T85" s="67"/>
    </row>
    <row r="86" spans="1:20" s="60" customFormat="1">
      <c r="A86" s="129"/>
      <c r="B86" s="120" t="s">
        <v>109</v>
      </c>
      <c r="C86" s="114" t="s">
        <v>242</v>
      </c>
      <c r="D86" s="148">
        <v>1</v>
      </c>
      <c r="E86" s="69">
        <v>1</v>
      </c>
      <c r="F86" s="110">
        <f t="shared" si="101"/>
        <v>12</v>
      </c>
      <c r="G86" s="278">
        <f t="shared" si="104"/>
        <v>980</v>
      </c>
      <c r="H86" s="68">
        <f t="shared" si="91"/>
        <v>11760</v>
      </c>
      <c r="I86" s="47">
        <f t="shared" si="99"/>
        <v>7379.7790143848779</v>
      </c>
      <c r="J86" s="67">
        <f>(References!$C$49*I86)</f>
        <v>54.093780175441076</v>
      </c>
      <c r="K86" s="67">
        <f>J86/References!$G$52</f>
        <v>55.458048160181541</v>
      </c>
      <c r="L86" s="67">
        <f t="shared" si="103"/>
        <v>4.6215040133484617</v>
      </c>
      <c r="M86" s="295">
        <v>199.81</v>
      </c>
      <c r="N86" s="67">
        <f t="shared" si="102"/>
        <v>204.43150401334847</v>
      </c>
      <c r="O86" s="67"/>
      <c r="P86" s="67"/>
      <c r="Q86" s="67"/>
      <c r="R86" s="67"/>
      <c r="S86" s="67"/>
      <c r="T86" s="67"/>
    </row>
    <row r="87" spans="1:20" s="60" customFormat="1">
      <c r="A87" s="129"/>
      <c r="B87" s="120" t="s">
        <v>109</v>
      </c>
      <c r="C87" s="114" t="s">
        <v>272</v>
      </c>
      <c r="D87" s="148">
        <v>1</v>
      </c>
      <c r="E87" s="69">
        <v>1</v>
      </c>
      <c r="F87" s="110">
        <f t="shared" si="101"/>
        <v>12</v>
      </c>
      <c r="G87" s="278">
        <f>G40</f>
        <v>175</v>
      </c>
      <c r="H87" s="68">
        <f t="shared" ref="H87" si="105">G87*F87</f>
        <v>2100</v>
      </c>
      <c r="I87" s="47">
        <f t="shared" si="99"/>
        <v>1317.8176811401568</v>
      </c>
      <c r="J87" s="67">
        <f>(References!$C$49*I87)</f>
        <v>9.6596036027573344</v>
      </c>
      <c r="K87" s="67">
        <f>J87/References!$G$52</f>
        <v>9.9032228857467022</v>
      </c>
      <c r="L87" s="67">
        <f t="shared" ref="L87:L93" si="106">IFERROR(K87/F87*E87,0)</f>
        <v>0.82526857381222518</v>
      </c>
      <c r="M87" s="295">
        <v>34.020000000000003</v>
      </c>
      <c r="N87" s="67">
        <f t="shared" si="102"/>
        <v>34.845268573812227</v>
      </c>
      <c r="O87" s="67"/>
      <c r="P87" s="67"/>
      <c r="Q87" s="67"/>
      <c r="R87" s="67"/>
      <c r="S87" s="67"/>
      <c r="T87" s="67"/>
    </row>
    <row r="88" spans="1:20" s="60" customFormat="1">
      <c r="A88" s="129"/>
      <c r="B88" s="120" t="s">
        <v>109</v>
      </c>
      <c r="C88" s="114" t="s">
        <v>273</v>
      </c>
      <c r="D88" s="148">
        <v>1</v>
      </c>
      <c r="E88" s="69">
        <v>1</v>
      </c>
      <c r="F88" s="110">
        <f t="shared" si="101"/>
        <v>12</v>
      </c>
      <c r="G88" s="278">
        <f t="shared" ref="G88:G93" si="107">G41</f>
        <v>212.5</v>
      </c>
      <c r="H88" s="68">
        <f t="shared" ref="H88:H94" si="108">G88*F88</f>
        <v>2550</v>
      </c>
      <c r="I88" s="47">
        <f t="shared" si="99"/>
        <v>1600.207184241619</v>
      </c>
      <c r="J88" s="67">
        <f>(References!$C$49*I88)</f>
        <v>11.729518660491049</v>
      </c>
      <c r="K88" s="67">
        <f>J88/References!$G$52</f>
        <v>12.025342075549569</v>
      </c>
      <c r="L88" s="67">
        <f t="shared" si="106"/>
        <v>1.0021118396291306</v>
      </c>
      <c r="M88" s="295">
        <v>37.36</v>
      </c>
      <c r="N88" s="67">
        <f t="shared" si="102"/>
        <v>38.362111839629129</v>
      </c>
      <c r="O88" s="67"/>
      <c r="P88" s="67"/>
      <c r="Q88" s="67"/>
      <c r="R88" s="67"/>
      <c r="S88" s="67"/>
      <c r="T88" s="67"/>
    </row>
    <row r="89" spans="1:20" s="60" customFormat="1">
      <c r="A89" s="129"/>
      <c r="B89" s="120" t="s">
        <v>109</v>
      </c>
      <c r="C89" s="114" t="s">
        <v>246</v>
      </c>
      <c r="D89" s="148">
        <v>1</v>
      </c>
      <c r="E89" s="69">
        <v>1</v>
      </c>
      <c r="F89" s="110">
        <f t="shared" si="101"/>
        <v>12</v>
      </c>
      <c r="G89" s="278">
        <f t="shared" si="107"/>
        <v>324</v>
      </c>
      <c r="H89" s="68">
        <f t="shared" si="108"/>
        <v>3888</v>
      </c>
      <c r="I89" s="47">
        <f t="shared" si="99"/>
        <v>2439.8453067966329</v>
      </c>
      <c r="J89" s="67">
        <f>(References!$C$49*I89)</f>
        <v>17.884066098819293</v>
      </c>
      <c r="K89" s="67">
        <f>J89/References!$G$52</f>
        <v>18.335109799896752</v>
      </c>
      <c r="L89" s="67">
        <f t="shared" si="106"/>
        <v>1.5279258166580627</v>
      </c>
      <c r="M89" s="295">
        <v>48.96</v>
      </c>
      <c r="N89" s="67">
        <f t="shared" si="102"/>
        <v>50.487925816658063</v>
      </c>
      <c r="O89" s="67"/>
      <c r="P89" s="67"/>
      <c r="Q89" s="67"/>
      <c r="R89" s="67"/>
      <c r="S89" s="67"/>
      <c r="T89" s="67"/>
    </row>
    <row r="90" spans="1:20" s="60" customFormat="1">
      <c r="A90" s="129"/>
      <c r="B90" s="120" t="s">
        <v>109</v>
      </c>
      <c r="C90" s="114" t="s">
        <v>274</v>
      </c>
      <c r="D90" s="148">
        <v>1</v>
      </c>
      <c r="E90" s="69">
        <v>1</v>
      </c>
      <c r="F90" s="110">
        <f t="shared" si="101"/>
        <v>12</v>
      </c>
      <c r="G90" s="278">
        <f t="shared" si="107"/>
        <v>473</v>
      </c>
      <c r="H90" s="68">
        <f t="shared" si="108"/>
        <v>5676</v>
      </c>
      <c r="I90" s="47">
        <f t="shared" si="99"/>
        <v>3561.8729324531096</v>
      </c>
      <c r="J90" s="67">
        <f>(References!$C$49*I90)</f>
        <v>26.108528594881253</v>
      </c>
      <c r="K90" s="67">
        <f>J90/References!$G$52</f>
        <v>26.766996714046805</v>
      </c>
      <c r="L90" s="67">
        <f t="shared" si="106"/>
        <v>2.2305830595039002</v>
      </c>
      <c r="M90" s="295">
        <v>69.540000000000006</v>
      </c>
      <c r="N90" s="67">
        <f t="shared" si="102"/>
        <v>71.770583059503906</v>
      </c>
      <c r="O90" s="67"/>
      <c r="P90" s="67"/>
      <c r="Q90" s="67"/>
      <c r="R90" s="67"/>
      <c r="S90" s="67"/>
      <c r="T90" s="67"/>
    </row>
    <row r="91" spans="1:20" s="60" customFormat="1">
      <c r="A91" s="129"/>
      <c r="B91" s="120" t="s">
        <v>109</v>
      </c>
      <c r="C91" s="114" t="s">
        <v>275</v>
      </c>
      <c r="D91" s="148">
        <v>1</v>
      </c>
      <c r="E91" s="69">
        <v>1</v>
      </c>
      <c r="F91" s="110">
        <f t="shared" si="101"/>
        <v>12</v>
      </c>
      <c r="G91" s="278">
        <f t="shared" si="107"/>
        <v>613</v>
      </c>
      <c r="H91" s="68">
        <f t="shared" si="108"/>
        <v>7356</v>
      </c>
      <c r="I91" s="47">
        <f t="shared" si="99"/>
        <v>4616.127077365235</v>
      </c>
      <c r="J91" s="67">
        <f>(References!$C$49*I91)</f>
        <v>33.836211477087126</v>
      </c>
      <c r="K91" s="67">
        <f>J91/References!$G$52</f>
        <v>34.689575022644171</v>
      </c>
      <c r="L91" s="67">
        <f t="shared" si="106"/>
        <v>2.8907979185536807</v>
      </c>
      <c r="M91" s="295">
        <v>91.41</v>
      </c>
      <c r="N91" s="67">
        <f t="shared" si="102"/>
        <v>94.300797918553684</v>
      </c>
      <c r="O91" s="67"/>
      <c r="P91" s="67"/>
      <c r="Q91" s="67"/>
      <c r="R91" s="67"/>
      <c r="S91" s="67"/>
      <c r="T91" s="67"/>
    </row>
    <row r="92" spans="1:20" s="60" customFormat="1">
      <c r="A92" s="129"/>
      <c r="B92" s="120" t="s">
        <v>109</v>
      </c>
      <c r="C92" s="114" t="s">
        <v>245</v>
      </c>
      <c r="D92" s="148">
        <v>1</v>
      </c>
      <c r="E92" s="69">
        <v>1</v>
      </c>
      <c r="F92" s="110">
        <f t="shared" si="101"/>
        <v>12</v>
      </c>
      <c r="G92" s="278">
        <f t="shared" si="107"/>
        <v>840</v>
      </c>
      <c r="H92" s="68">
        <f t="shared" si="108"/>
        <v>10080</v>
      </c>
      <c r="I92" s="47">
        <f t="shared" si="99"/>
        <v>6325.5248694727525</v>
      </c>
      <c r="J92" s="67">
        <f>(References!$C$49*I92)</f>
        <v>46.366097293235207</v>
      </c>
      <c r="K92" s="67">
        <f>J92/References!$G$52</f>
        <v>47.535469851584175</v>
      </c>
      <c r="L92" s="67">
        <f t="shared" si="106"/>
        <v>3.9612891542986812</v>
      </c>
      <c r="M92" s="295">
        <v>136.12</v>
      </c>
      <c r="N92" s="67">
        <f t="shared" si="102"/>
        <v>140.08128915429867</v>
      </c>
      <c r="O92" s="67"/>
      <c r="P92" s="67"/>
      <c r="Q92" s="67"/>
      <c r="R92" s="67"/>
      <c r="S92" s="67"/>
      <c r="T92" s="67"/>
    </row>
    <row r="93" spans="1:20" s="60" customFormat="1">
      <c r="A93" s="129"/>
      <c r="B93" s="120" t="s">
        <v>109</v>
      </c>
      <c r="C93" s="114" t="s">
        <v>276</v>
      </c>
      <c r="D93" s="148">
        <v>1</v>
      </c>
      <c r="E93" s="69">
        <v>1</v>
      </c>
      <c r="F93" s="110">
        <f t="shared" si="101"/>
        <v>12</v>
      </c>
      <c r="G93" s="278">
        <f t="shared" si="107"/>
        <v>980</v>
      </c>
      <c r="H93" s="68">
        <f t="shared" si="108"/>
        <v>11760</v>
      </c>
      <c r="I93" s="47">
        <f t="shared" si="99"/>
        <v>7379.7790143848779</v>
      </c>
      <c r="J93" s="67">
        <f>(References!$C$49*I93)</f>
        <v>54.093780175441076</v>
      </c>
      <c r="K93" s="67">
        <f>J93/References!$G$52</f>
        <v>55.458048160181541</v>
      </c>
      <c r="L93" s="67">
        <f t="shared" si="106"/>
        <v>4.6215040133484617</v>
      </c>
      <c r="M93" s="295">
        <v>169.26</v>
      </c>
      <c r="N93" s="67">
        <f t="shared" si="102"/>
        <v>173.88150401334846</v>
      </c>
      <c r="O93" s="67"/>
      <c r="P93" s="67"/>
      <c r="Q93" s="67"/>
      <c r="R93" s="67"/>
      <c r="S93" s="67"/>
      <c r="T93" s="67"/>
    </row>
    <row r="94" spans="1:20" s="60" customFormat="1">
      <c r="A94" s="129"/>
      <c r="B94" s="120" t="s">
        <v>109</v>
      </c>
      <c r="C94" s="114" t="s">
        <v>32</v>
      </c>
      <c r="D94" s="148">
        <v>1</v>
      </c>
      <c r="E94" s="69">
        <v>1</v>
      </c>
      <c r="F94" s="110">
        <f t="shared" si="101"/>
        <v>12</v>
      </c>
      <c r="G94" s="278">
        <f>References!B14</f>
        <v>34</v>
      </c>
      <c r="H94" s="68">
        <f t="shared" si="108"/>
        <v>408</v>
      </c>
      <c r="I94" s="47">
        <f t="shared" si="99"/>
        <v>256.03314947865903</v>
      </c>
      <c r="J94" s="67">
        <f>(References!$C$49*I94)</f>
        <v>1.8767229856785679</v>
      </c>
      <c r="K94" s="67">
        <f>J94/References!$G$52</f>
        <v>1.9240547320879309</v>
      </c>
      <c r="L94" s="67">
        <f t="shared" ref="L94" si="109">IFERROR(K94/F94*E94,0)</f>
        <v>0.1603378943406609</v>
      </c>
      <c r="M94" s="295">
        <v>4.38</v>
      </c>
      <c r="N94" s="67">
        <f t="shared" si="102"/>
        <v>4.5403378943406612</v>
      </c>
      <c r="O94" s="67"/>
      <c r="P94" s="67"/>
      <c r="Q94" s="67"/>
      <c r="R94" s="67"/>
      <c r="S94" s="67"/>
      <c r="T94" s="67"/>
    </row>
    <row r="95" spans="1:20" s="60" customFormat="1">
      <c r="A95" s="129"/>
      <c r="B95" s="120" t="s">
        <v>128</v>
      </c>
      <c r="C95" s="114" t="s">
        <v>278</v>
      </c>
      <c r="D95" s="130">
        <v>1</v>
      </c>
      <c r="E95" s="69">
        <v>1</v>
      </c>
      <c r="F95" s="110">
        <f t="shared" si="101"/>
        <v>12</v>
      </c>
      <c r="G95" s="278">
        <f>References!B38</f>
        <v>1686</v>
      </c>
      <c r="H95" s="68">
        <f t="shared" si="91"/>
        <v>20232</v>
      </c>
      <c r="I95" s="47">
        <f t="shared" ref="I95:I103" si="110">$D$130*H95</f>
        <v>12696.232059441738</v>
      </c>
      <c r="J95" s="67">
        <f>(References!$C$49*I95)</f>
        <v>93.063380995707803</v>
      </c>
      <c r="K95" s="67">
        <f>J95/References!$G$52</f>
        <v>95.410478773536809</v>
      </c>
      <c r="L95" s="67">
        <f t="shared" ref="L95:L103" si="111">IFERROR(K95/F95*E95,0)</f>
        <v>7.9508732311280674</v>
      </c>
      <c r="M95" s="295">
        <v>378.78</v>
      </c>
      <c r="N95" s="67">
        <f t="shared" si="102"/>
        <v>386.73087323112804</v>
      </c>
      <c r="O95" s="67"/>
      <c r="P95" s="67"/>
      <c r="Q95" s="67"/>
      <c r="R95" s="67"/>
      <c r="S95" s="67"/>
      <c r="T95" s="67"/>
    </row>
    <row r="96" spans="1:20" s="60" customFormat="1">
      <c r="A96" s="129"/>
      <c r="B96" s="120" t="s">
        <v>128</v>
      </c>
      <c r="C96" s="114" t="s">
        <v>279</v>
      </c>
      <c r="D96" s="130">
        <v>1</v>
      </c>
      <c r="E96" s="69">
        <v>1</v>
      </c>
      <c r="F96" s="110">
        <f t="shared" si="101"/>
        <v>12</v>
      </c>
      <c r="G96" s="278">
        <f>References!B40</f>
        <v>2310</v>
      </c>
      <c r="H96" s="68">
        <f t="shared" si="91"/>
        <v>27720</v>
      </c>
      <c r="I96" s="47">
        <f t="shared" si="110"/>
        <v>17395.19339105007</v>
      </c>
      <c r="J96" s="67">
        <f>(References!$C$49*I96)</f>
        <v>127.50676755639682</v>
      </c>
      <c r="K96" s="67">
        <f>J96/References!$G$52</f>
        <v>130.7225420918565</v>
      </c>
      <c r="L96" s="67">
        <f t="shared" si="111"/>
        <v>10.893545174321375</v>
      </c>
      <c r="M96" s="295">
        <v>504.61</v>
      </c>
      <c r="N96" s="67">
        <f t="shared" si="102"/>
        <v>515.5035451743214</v>
      </c>
      <c r="O96" s="67"/>
      <c r="P96" s="67"/>
      <c r="Q96" s="67"/>
      <c r="R96" s="67"/>
      <c r="S96" s="67"/>
      <c r="T96" s="67"/>
    </row>
    <row r="97" spans="1:22">
      <c r="A97" s="129"/>
      <c r="B97" s="120" t="s">
        <v>128</v>
      </c>
      <c r="C97" s="114" t="s">
        <v>121</v>
      </c>
      <c r="D97" s="130">
        <v>1</v>
      </c>
      <c r="E97" s="69">
        <v>1</v>
      </c>
      <c r="F97" s="110">
        <f t="shared" si="101"/>
        <v>12</v>
      </c>
      <c r="G97" s="278">
        <f>References!B37</f>
        <v>1301</v>
      </c>
      <c r="H97" s="68">
        <f t="shared" ref="H97:H115" si="112">G97*F97</f>
        <v>15612</v>
      </c>
      <c r="I97" s="47">
        <f t="shared" si="110"/>
        <v>9797.0331609333934</v>
      </c>
      <c r="J97" s="67">
        <f>(References!$C$49*I97)</f>
        <v>71.81225306964167</v>
      </c>
      <c r="K97" s="67">
        <f>J97/References!$G$52</f>
        <v>73.62338842489406</v>
      </c>
      <c r="L97" s="67">
        <f t="shared" si="111"/>
        <v>6.1352823687411719</v>
      </c>
      <c r="M97" s="295">
        <v>254.59</v>
      </c>
      <c r="N97" s="67">
        <f t="shared" ref="N97:N115" si="113">L97+M97</f>
        <v>260.72528236874115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29"/>
      <c r="B98" s="120" t="s">
        <v>128</v>
      </c>
      <c r="C98" s="114" t="s">
        <v>122</v>
      </c>
      <c r="D98" s="130">
        <v>1</v>
      </c>
      <c r="E98" s="69">
        <v>1</v>
      </c>
      <c r="F98" s="110">
        <f t="shared" si="101"/>
        <v>12</v>
      </c>
      <c r="G98" s="278">
        <f>References!B38</f>
        <v>1686</v>
      </c>
      <c r="H98" s="68">
        <f t="shared" si="112"/>
        <v>20232</v>
      </c>
      <c r="I98" s="47">
        <f t="shared" si="110"/>
        <v>12696.232059441738</v>
      </c>
      <c r="J98" s="67">
        <f>(References!$C$49*I98)</f>
        <v>93.063380995707803</v>
      </c>
      <c r="K98" s="67">
        <f>J98/References!$G$52</f>
        <v>95.410478773536809</v>
      </c>
      <c r="L98" s="67">
        <f t="shared" si="111"/>
        <v>7.9508732311280674</v>
      </c>
      <c r="M98" s="295">
        <v>392.25</v>
      </c>
      <c r="N98" s="67">
        <f t="shared" si="113"/>
        <v>400.20087323112807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29"/>
      <c r="B99" s="120" t="s">
        <v>128</v>
      </c>
      <c r="C99" s="114" t="s">
        <v>123</v>
      </c>
      <c r="D99" s="130">
        <v>1</v>
      </c>
      <c r="E99" s="69">
        <v>1</v>
      </c>
      <c r="F99" s="110">
        <f t="shared" si="101"/>
        <v>12</v>
      </c>
      <c r="G99" s="278">
        <f>References!B40</f>
        <v>2310</v>
      </c>
      <c r="H99" s="68">
        <f t="shared" si="112"/>
        <v>27720</v>
      </c>
      <c r="I99" s="47">
        <f t="shared" si="110"/>
        <v>17395.19339105007</v>
      </c>
      <c r="J99" s="67">
        <f>(References!$C$49*I99)</f>
        <v>127.50676755639682</v>
      </c>
      <c r="K99" s="67">
        <f>J99/References!$G$52</f>
        <v>130.7225420918565</v>
      </c>
      <c r="L99" s="67">
        <f t="shared" si="111"/>
        <v>10.893545174321375</v>
      </c>
      <c r="M99" s="295">
        <v>525.49</v>
      </c>
      <c r="N99" s="67">
        <f t="shared" si="113"/>
        <v>536.3835451743214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29"/>
      <c r="B100" s="43" t="s">
        <v>108</v>
      </c>
      <c r="C100" s="114" t="s">
        <v>239</v>
      </c>
      <c r="D100" s="130">
        <v>1</v>
      </c>
      <c r="E100" s="69">
        <v>1</v>
      </c>
      <c r="F100" s="110">
        <f t="shared" si="101"/>
        <v>12</v>
      </c>
      <c r="G100" s="278">
        <f>References!B26</f>
        <v>29</v>
      </c>
      <c r="H100" s="68">
        <f t="shared" si="112"/>
        <v>348</v>
      </c>
      <c r="I100" s="47">
        <f t="shared" si="110"/>
        <v>218.3812157317974</v>
      </c>
      <c r="J100" s="67">
        <f>(References!$C$49*I100)</f>
        <v>1.6007343113140726</v>
      </c>
      <c r="K100" s="67">
        <f>J100/References!$G$52</f>
        <v>1.6411055067808822</v>
      </c>
      <c r="L100" s="67">
        <f t="shared" si="111"/>
        <v>0.13675879223174017</v>
      </c>
      <c r="M100" s="295">
        <v>7.95</v>
      </c>
      <c r="N100" s="67">
        <f t="shared" si="113"/>
        <v>8.0867587922317412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29"/>
      <c r="B101" s="43" t="s">
        <v>108</v>
      </c>
      <c r="C101" s="114" t="s">
        <v>240</v>
      </c>
      <c r="D101" s="130">
        <v>1</v>
      </c>
      <c r="E101" s="69">
        <v>1</v>
      </c>
      <c r="F101" s="110">
        <f t="shared" si="101"/>
        <v>12</v>
      </c>
      <c r="G101" s="278">
        <f>References!B21</f>
        <v>47</v>
      </c>
      <c r="H101" s="68">
        <f t="shared" si="112"/>
        <v>564</v>
      </c>
      <c r="I101" s="47">
        <f t="shared" si="110"/>
        <v>353.92817722049926</v>
      </c>
      <c r="J101" s="67">
        <f>(References!$C$49*I101)</f>
        <v>2.594293539026256</v>
      </c>
      <c r="K101" s="67">
        <f>J101/References!$G$52</f>
        <v>2.6597227178862579</v>
      </c>
      <c r="L101" s="67">
        <f t="shared" si="111"/>
        <v>0.22164355982385484</v>
      </c>
      <c r="M101" s="295">
        <v>10.74</v>
      </c>
      <c r="N101" s="67">
        <f t="shared" si="113"/>
        <v>10.961643559823855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29"/>
      <c r="B102" s="43" t="s">
        <v>108</v>
      </c>
      <c r="C102" s="114" t="s">
        <v>241</v>
      </c>
      <c r="D102" s="130">
        <v>1</v>
      </c>
      <c r="E102" s="69">
        <v>1</v>
      </c>
      <c r="F102" s="110">
        <f t="shared" si="101"/>
        <v>12</v>
      </c>
      <c r="G102" s="278">
        <f>References!B22</f>
        <v>68</v>
      </c>
      <c r="H102" s="68">
        <f t="shared" si="112"/>
        <v>816</v>
      </c>
      <c r="I102" s="47">
        <f t="shared" si="110"/>
        <v>512.06629895731805</v>
      </c>
      <c r="J102" s="67">
        <f>(References!$C$49*I102)</f>
        <v>3.7534459713571358</v>
      </c>
      <c r="K102" s="67">
        <f>J102/References!$G$52</f>
        <v>3.8481094641758617</v>
      </c>
      <c r="L102" s="67">
        <f t="shared" si="111"/>
        <v>0.32067578868132179</v>
      </c>
      <c r="M102" s="295">
        <v>12.16</v>
      </c>
      <c r="N102" s="67">
        <f t="shared" si="113"/>
        <v>12.480675788681323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29"/>
      <c r="B103" s="43" t="s">
        <v>108</v>
      </c>
      <c r="C103" s="114" t="s">
        <v>242</v>
      </c>
      <c r="D103" s="130">
        <v>1</v>
      </c>
      <c r="E103" s="69">
        <v>1</v>
      </c>
      <c r="F103" s="110">
        <f t="shared" si="101"/>
        <v>12</v>
      </c>
      <c r="G103" s="278">
        <f>References!B33</f>
        <v>980</v>
      </c>
      <c r="H103" s="68">
        <f t="shared" si="112"/>
        <v>11760</v>
      </c>
      <c r="I103" s="47">
        <f t="shared" si="110"/>
        <v>7379.7790143848779</v>
      </c>
      <c r="J103" s="67">
        <f>(References!$C$49*I103)</f>
        <v>54.093780175441076</v>
      </c>
      <c r="K103" s="67">
        <f>J103/References!$G$52</f>
        <v>55.458048160181541</v>
      </c>
      <c r="L103" s="67">
        <f t="shared" si="111"/>
        <v>4.6215040133484617</v>
      </c>
      <c r="M103" s="279">
        <v>132.84</v>
      </c>
      <c r="N103" s="275">
        <f t="shared" si="113"/>
        <v>137.46150401334847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29"/>
      <c r="B104" s="43" t="s">
        <v>108</v>
      </c>
      <c r="C104" s="114" t="s">
        <v>272</v>
      </c>
      <c r="D104" s="130">
        <v>1</v>
      </c>
      <c r="E104" s="69">
        <v>1</v>
      </c>
      <c r="F104" s="110">
        <f t="shared" si="101"/>
        <v>12</v>
      </c>
      <c r="G104" s="278">
        <f>G40</f>
        <v>175</v>
      </c>
      <c r="H104" s="68">
        <f t="shared" ref="H104:H108" si="114">G104*F104</f>
        <v>2100</v>
      </c>
      <c r="I104" s="47">
        <f t="shared" ref="I104:I108" si="115">$D$130*H104</f>
        <v>1317.8176811401568</v>
      </c>
      <c r="J104" s="67">
        <f>(References!$C$49*I104)</f>
        <v>9.6596036027573344</v>
      </c>
      <c r="K104" s="67">
        <f>J104/References!$G$52</f>
        <v>9.9032228857467022</v>
      </c>
      <c r="L104" s="67">
        <f t="shared" ref="L104:L108" si="116">IFERROR(K104/F104*E104,0)</f>
        <v>0.82526857381222518</v>
      </c>
      <c r="M104" s="295">
        <v>29.91</v>
      </c>
      <c r="N104" s="67">
        <f t="shared" si="113"/>
        <v>30.735268573812224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29"/>
      <c r="B105" s="43" t="s">
        <v>108</v>
      </c>
      <c r="C105" s="114" t="s">
        <v>273</v>
      </c>
      <c r="D105" s="130">
        <v>1</v>
      </c>
      <c r="E105" s="69">
        <v>1</v>
      </c>
      <c r="F105" s="110">
        <f t="shared" si="101"/>
        <v>12</v>
      </c>
      <c r="G105" s="278">
        <f>G41</f>
        <v>212.5</v>
      </c>
      <c r="H105" s="68">
        <f t="shared" si="114"/>
        <v>2550</v>
      </c>
      <c r="I105" s="47">
        <f t="shared" si="115"/>
        <v>1600.207184241619</v>
      </c>
      <c r="J105" s="67">
        <f>(References!$C$49*I105)</f>
        <v>11.729518660491049</v>
      </c>
      <c r="K105" s="67">
        <f>J105/References!$G$52</f>
        <v>12.025342075549569</v>
      </c>
      <c r="L105" s="67">
        <f t="shared" si="116"/>
        <v>1.0021118396291306</v>
      </c>
      <c r="M105" s="295">
        <v>31.75</v>
      </c>
      <c r="N105" s="67">
        <f t="shared" si="113"/>
        <v>32.75211183962913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29"/>
      <c r="B106" s="43" t="s">
        <v>108</v>
      </c>
      <c r="C106" s="114" t="s">
        <v>274</v>
      </c>
      <c r="D106" s="130">
        <v>1</v>
      </c>
      <c r="E106" s="69">
        <v>1</v>
      </c>
      <c r="F106" s="110">
        <f t="shared" si="101"/>
        <v>12</v>
      </c>
      <c r="G106" s="278">
        <f>G43</f>
        <v>473</v>
      </c>
      <c r="H106" s="68">
        <f t="shared" si="114"/>
        <v>5676</v>
      </c>
      <c r="I106" s="47">
        <f t="shared" si="115"/>
        <v>3561.8729324531096</v>
      </c>
      <c r="J106" s="67">
        <f>(References!$C$49*I106)</f>
        <v>26.108528594881253</v>
      </c>
      <c r="K106" s="67">
        <f>J106/References!$G$52</f>
        <v>26.766996714046805</v>
      </c>
      <c r="L106" s="67">
        <f t="shared" si="116"/>
        <v>2.2305830595039002</v>
      </c>
      <c r="M106" s="279">
        <v>54.83</v>
      </c>
      <c r="N106" s="275">
        <f t="shared" si="113"/>
        <v>57.060583059503898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A107" s="129"/>
      <c r="B107" s="43" t="s">
        <v>108</v>
      </c>
      <c r="C107" s="114" t="s">
        <v>275</v>
      </c>
      <c r="D107" s="130">
        <v>1</v>
      </c>
      <c r="E107" s="69">
        <v>1</v>
      </c>
      <c r="F107" s="110">
        <f t="shared" si="101"/>
        <v>12</v>
      </c>
      <c r="G107" s="278">
        <f>G44</f>
        <v>613</v>
      </c>
      <c r="H107" s="68">
        <f t="shared" si="114"/>
        <v>7356</v>
      </c>
      <c r="I107" s="47">
        <f t="shared" si="115"/>
        <v>4616.127077365235</v>
      </c>
      <c r="J107" s="67">
        <f>(References!$C$49*I107)</f>
        <v>33.836211477087126</v>
      </c>
      <c r="K107" s="67">
        <f>J107/References!$G$52</f>
        <v>34.689575022644171</v>
      </c>
      <c r="L107" s="67">
        <f t="shared" si="116"/>
        <v>2.8907979185536807</v>
      </c>
      <c r="M107" s="279">
        <v>71.75</v>
      </c>
      <c r="N107" s="275">
        <f t="shared" si="113"/>
        <v>74.640797918553687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A108" s="129"/>
      <c r="B108" s="43" t="s">
        <v>108</v>
      </c>
      <c r="C108" s="114" t="s">
        <v>276</v>
      </c>
      <c r="D108" s="130">
        <v>1</v>
      </c>
      <c r="E108" s="69">
        <v>1</v>
      </c>
      <c r="F108" s="110">
        <f t="shared" si="101"/>
        <v>12</v>
      </c>
      <c r="G108" s="278">
        <f>G46</f>
        <v>980</v>
      </c>
      <c r="H108" s="68">
        <f t="shared" si="114"/>
        <v>11760</v>
      </c>
      <c r="I108" s="47">
        <f t="shared" si="115"/>
        <v>7379.7790143848779</v>
      </c>
      <c r="J108" s="67">
        <f>(References!$C$49*I108)</f>
        <v>54.093780175441076</v>
      </c>
      <c r="K108" s="67">
        <f>J108/References!$G$52</f>
        <v>55.458048160181541</v>
      </c>
      <c r="L108" s="67">
        <f t="shared" si="116"/>
        <v>4.6215040133484617</v>
      </c>
      <c r="M108" s="279">
        <v>129.69999999999999</v>
      </c>
      <c r="N108" s="275">
        <f t="shared" si="113"/>
        <v>134.32150401334846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29"/>
      <c r="B109" s="43" t="s">
        <v>127</v>
      </c>
      <c r="C109" s="114" t="s">
        <v>125</v>
      </c>
      <c r="D109" s="130">
        <v>1</v>
      </c>
      <c r="E109" s="69">
        <v>1</v>
      </c>
      <c r="F109" s="110">
        <f t="shared" si="101"/>
        <v>12</v>
      </c>
      <c r="G109" s="278">
        <f>References!B26</f>
        <v>29</v>
      </c>
      <c r="H109" s="68">
        <f t="shared" si="112"/>
        <v>348</v>
      </c>
      <c r="I109" s="47">
        <f t="shared" ref="I109:I115" si="117">$D$130*H109</f>
        <v>218.3812157317974</v>
      </c>
      <c r="J109" s="67">
        <f>(References!$C$49*I109)</f>
        <v>1.6007343113140726</v>
      </c>
      <c r="K109" s="67">
        <f>J109/References!$G$52</f>
        <v>1.6411055067808822</v>
      </c>
      <c r="L109" s="67">
        <f t="shared" ref="L109:L115" si="118">IFERROR(K109/F109*E109,0)</f>
        <v>0.13675879223174017</v>
      </c>
      <c r="M109" s="295">
        <v>7.95</v>
      </c>
      <c r="N109" s="67">
        <f t="shared" si="113"/>
        <v>8.0867587922317412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29"/>
      <c r="B110" s="43" t="s">
        <v>129</v>
      </c>
      <c r="C110" s="114" t="s">
        <v>266</v>
      </c>
      <c r="D110" s="130">
        <v>1</v>
      </c>
      <c r="E110" s="69">
        <v>1</v>
      </c>
      <c r="F110" s="110">
        <f t="shared" si="101"/>
        <v>12</v>
      </c>
      <c r="G110" s="278">
        <f>References!B37</f>
        <v>1301</v>
      </c>
      <c r="H110" s="68">
        <f t="shared" si="112"/>
        <v>15612</v>
      </c>
      <c r="I110" s="47">
        <f t="shared" si="117"/>
        <v>9797.0331609333934</v>
      </c>
      <c r="J110" s="67">
        <f>(References!$C$49*I110)</f>
        <v>71.81225306964167</v>
      </c>
      <c r="K110" s="67">
        <f>J110/References!$G$52</f>
        <v>73.62338842489406</v>
      </c>
      <c r="L110" s="67">
        <f t="shared" si="118"/>
        <v>6.1352823687411719</v>
      </c>
      <c r="M110" s="279">
        <v>180.15</v>
      </c>
      <c r="N110" s="275">
        <f t="shared" si="113"/>
        <v>186.28528236874118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3"/>
      <c r="B111" s="43" t="s">
        <v>129</v>
      </c>
      <c r="C111" s="114" t="s">
        <v>267</v>
      </c>
      <c r="D111" s="130">
        <v>1</v>
      </c>
      <c r="E111" s="69">
        <v>1</v>
      </c>
      <c r="F111" s="110">
        <f t="shared" si="101"/>
        <v>12</v>
      </c>
      <c r="G111" s="278">
        <f>References!B38</f>
        <v>1686</v>
      </c>
      <c r="H111" s="68">
        <f t="shared" si="112"/>
        <v>20232</v>
      </c>
      <c r="I111" s="47">
        <f t="shared" si="117"/>
        <v>12696.232059441738</v>
      </c>
      <c r="J111" s="67">
        <f>(References!$C$49*I111)</f>
        <v>93.063380995707803</v>
      </c>
      <c r="K111" s="67">
        <f>J111/References!$G$52</f>
        <v>95.410478773536809</v>
      </c>
      <c r="L111" s="67">
        <f t="shared" si="118"/>
        <v>7.9508732311280674</v>
      </c>
      <c r="M111" s="279">
        <v>307.58</v>
      </c>
      <c r="N111" s="275">
        <f t="shared" si="113"/>
        <v>315.53087323112806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3"/>
      <c r="B112" s="43" t="s">
        <v>129</v>
      </c>
      <c r="C112" s="114" t="s">
        <v>268</v>
      </c>
      <c r="D112" s="130">
        <v>1</v>
      </c>
      <c r="E112" s="69">
        <v>1</v>
      </c>
      <c r="F112" s="110">
        <f t="shared" si="101"/>
        <v>12</v>
      </c>
      <c r="G112" s="278">
        <f>References!B40</f>
        <v>2310</v>
      </c>
      <c r="H112" s="68">
        <f t="shared" si="112"/>
        <v>27720</v>
      </c>
      <c r="I112" s="47">
        <f t="shared" si="117"/>
        <v>17395.19339105007</v>
      </c>
      <c r="J112" s="67">
        <f>(References!$C$49*I112)</f>
        <v>127.50676755639682</v>
      </c>
      <c r="K112" s="67">
        <f>J112/References!$G$52</f>
        <v>130.7225420918565</v>
      </c>
      <c r="L112" s="67">
        <f t="shared" si="118"/>
        <v>10.893545174321375</v>
      </c>
      <c r="M112" s="279">
        <v>395.56</v>
      </c>
      <c r="N112" s="275">
        <f t="shared" si="113"/>
        <v>406.45354517432139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3"/>
      <c r="B113" s="43" t="s">
        <v>129</v>
      </c>
      <c r="C113" s="114" t="s">
        <v>121</v>
      </c>
      <c r="D113" s="130">
        <v>1</v>
      </c>
      <c r="E113" s="69">
        <v>1</v>
      </c>
      <c r="F113" s="110">
        <f t="shared" si="101"/>
        <v>12</v>
      </c>
      <c r="G113" s="278">
        <f>References!B37</f>
        <v>1301</v>
      </c>
      <c r="H113" s="68">
        <f t="shared" si="112"/>
        <v>15612</v>
      </c>
      <c r="I113" s="47">
        <f t="shared" si="117"/>
        <v>9797.0331609333934</v>
      </c>
      <c r="J113" s="67">
        <f>(References!$C$49*I113)</f>
        <v>71.81225306964167</v>
      </c>
      <c r="K113" s="67">
        <f>J113/References!$G$52</f>
        <v>73.62338842489406</v>
      </c>
      <c r="L113" s="67">
        <f t="shared" si="118"/>
        <v>6.1352823687411719</v>
      </c>
      <c r="M113" s="279">
        <v>183.07</v>
      </c>
      <c r="N113" s="275">
        <f t="shared" si="113"/>
        <v>189.20528236874117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3"/>
      <c r="B114" s="43" t="s">
        <v>129</v>
      </c>
      <c r="C114" s="114" t="s">
        <v>122</v>
      </c>
      <c r="D114" s="130">
        <v>1</v>
      </c>
      <c r="E114" s="69">
        <v>1</v>
      </c>
      <c r="F114" s="110">
        <f t="shared" si="101"/>
        <v>12</v>
      </c>
      <c r="G114" s="278">
        <f>References!B38</f>
        <v>1686</v>
      </c>
      <c r="H114" s="68">
        <f t="shared" si="112"/>
        <v>20232</v>
      </c>
      <c r="I114" s="47">
        <f t="shared" si="117"/>
        <v>12696.232059441738</v>
      </c>
      <c r="J114" s="67">
        <f>(References!$C$49*I114)</f>
        <v>93.063380995707803</v>
      </c>
      <c r="K114" s="67">
        <f>J114/References!$G$52</f>
        <v>95.410478773536809</v>
      </c>
      <c r="L114" s="67">
        <f t="shared" si="118"/>
        <v>7.9508732311280674</v>
      </c>
      <c r="M114" s="279">
        <v>310.19</v>
      </c>
      <c r="N114" s="275">
        <f t="shared" si="113"/>
        <v>318.14087323112807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4"/>
      <c r="B115" s="135" t="s">
        <v>129</v>
      </c>
      <c r="C115" s="136" t="s">
        <v>123</v>
      </c>
      <c r="D115" s="137">
        <v>1</v>
      </c>
      <c r="E115" s="138">
        <v>1</v>
      </c>
      <c r="F115" s="139">
        <f t="shared" si="101"/>
        <v>12</v>
      </c>
      <c r="G115" s="291">
        <f>References!B40</f>
        <v>2310</v>
      </c>
      <c r="H115" s="140">
        <f t="shared" si="112"/>
        <v>27720</v>
      </c>
      <c r="I115" s="141">
        <f t="shared" si="117"/>
        <v>17395.19339105007</v>
      </c>
      <c r="J115" s="142">
        <f>(References!$C$49*I115)</f>
        <v>127.50676755639682</v>
      </c>
      <c r="K115" s="142">
        <f>J115/References!$G$52</f>
        <v>130.7225420918565</v>
      </c>
      <c r="L115" s="142">
        <f t="shared" si="118"/>
        <v>10.893545174321375</v>
      </c>
      <c r="M115" s="299">
        <v>397.96</v>
      </c>
      <c r="N115" s="300">
        <f t="shared" si="113"/>
        <v>408.85354517432137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B116" s="301" t="s">
        <v>289</v>
      </c>
      <c r="C116" s="302" t="s">
        <v>290</v>
      </c>
      <c r="D116" s="303">
        <v>1</v>
      </c>
      <c r="E116" s="304">
        <v>1</v>
      </c>
      <c r="F116" s="305">
        <v>12</v>
      </c>
      <c r="G116" s="306">
        <f>References!B42</f>
        <v>125</v>
      </c>
      <c r="H116" s="311">
        <f t="shared" ref="H116:H117" si="119">G116*F116</f>
        <v>1500</v>
      </c>
      <c r="I116" s="312">
        <f t="shared" ref="I116:I117" si="120">$D$130*H116</f>
        <v>941.29834367154058</v>
      </c>
      <c r="J116" s="313">
        <f>(References!$C$49*I116)</f>
        <v>6.8997168591123827</v>
      </c>
      <c r="K116" s="313">
        <f>J116/References!$G$52</f>
        <v>7.0737306326762175</v>
      </c>
      <c r="L116" s="313">
        <f t="shared" ref="L116:L117" si="121">IFERROR(K116/F116*E116,0)</f>
        <v>0.58947755272301816</v>
      </c>
      <c r="M116" s="314">
        <v>17.5</v>
      </c>
      <c r="N116" s="313">
        <f t="shared" ref="N116:N117" si="122">L116+M116</f>
        <v>18.089477552723018</v>
      </c>
      <c r="O116" s="67" t="s">
        <v>292</v>
      </c>
      <c r="P116" s="67"/>
      <c r="Q116" s="67"/>
      <c r="R116" s="67"/>
      <c r="S116" s="67"/>
      <c r="T116" s="67"/>
      <c r="U116" s="60"/>
      <c r="V116" s="60"/>
    </row>
    <row r="117" spans="1:22">
      <c r="A117" s="63"/>
      <c r="B117" s="301" t="s">
        <v>289</v>
      </c>
      <c r="C117" s="302" t="s">
        <v>291</v>
      </c>
      <c r="D117" s="303">
        <v>1</v>
      </c>
      <c r="E117" s="304">
        <v>1</v>
      </c>
      <c r="F117" s="305">
        <v>12</v>
      </c>
      <c r="G117" s="306">
        <f>References!B42</f>
        <v>125</v>
      </c>
      <c r="H117" s="307">
        <f t="shared" si="119"/>
        <v>1500</v>
      </c>
      <c r="I117" s="308">
        <f t="shared" si="120"/>
        <v>941.29834367154058</v>
      </c>
      <c r="J117" s="309">
        <f>(References!$C$49*I117)</f>
        <v>6.8997168591123827</v>
      </c>
      <c r="K117" s="309">
        <f>J117/References!$G$52</f>
        <v>7.0737306326762175</v>
      </c>
      <c r="L117" s="309">
        <f t="shared" si="121"/>
        <v>0.58947755272301816</v>
      </c>
      <c r="M117" s="310">
        <v>17.5</v>
      </c>
      <c r="N117" s="309">
        <f t="shared" si="122"/>
        <v>18.089477552723018</v>
      </c>
      <c r="O117" s="67" t="s">
        <v>292</v>
      </c>
      <c r="P117" s="67"/>
      <c r="Q117" s="67"/>
      <c r="R117" s="67"/>
      <c r="S117" s="67"/>
      <c r="T117" s="67"/>
      <c r="U117" s="60"/>
      <c r="V117" s="60"/>
    </row>
    <row r="118" spans="1:22">
      <c r="A118" s="63"/>
      <c r="B118" s="301"/>
      <c r="C118" s="302"/>
      <c r="D118" s="303"/>
      <c r="E118" s="304"/>
      <c r="F118" s="305"/>
      <c r="G118" s="306"/>
      <c r="H118" s="307"/>
      <c r="I118" s="308"/>
      <c r="J118" s="309"/>
      <c r="K118" s="309"/>
      <c r="L118" s="309"/>
      <c r="M118" s="310"/>
      <c r="N118" s="309"/>
      <c r="O118" s="67"/>
      <c r="P118" s="67"/>
      <c r="Q118" s="67"/>
      <c r="R118" s="67"/>
      <c r="S118" s="67"/>
      <c r="T118" s="67"/>
      <c r="U118" s="60"/>
      <c r="V118" s="60"/>
    </row>
    <row r="119" spans="1:22">
      <c r="A119" s="63"/>
      <c r="B119" s="301"/>
      <c r="C119" s="302"/>
      <c r="D119" s="303"/>
      <c r="E119" s="304"/>
      <c r="F119" s="305"/>
      <c r="G119" s="306"/>
      <c r="H119" s="307"/>
      <c r="I119" s="308"/>
      <c r="J119" s="309"/>
      <c r="K119" s="309"/>
      <c r="L119" s="309"/>
      <c r="M119" s="310"/>
      <c r="N119" s="309"/>
      <c r="O119" s="67"/>
      <c r="P119" s="67"/>
      <c r="Q119" s="67"/>
      <c r="R119" s="67"/>
      <c r="S119" s="67"/>
      <c r="T119" s="67"/>
      <c r="U119" s="60"/>
      <c r="V119" s="60"/>
    </row>
    <row r="120" spans="1:22">
      <c r="A120" s="63"/>
      <c r="B120" s="301"/>
      <c r="C120" s="302"/>
      <c r="D120" s="303"/>
      <c r="E120" s="304"/>
      <c r="F120" s="305"/>
      <c r="G120" s="306"/>
      <c r="H120" s="307"/>
      <c r="I120" s="308"/>
      <c r="J120" s="309"/>
      <c r="K120" s="309"/>
      <c r="L120" s="309"/>
      <c r="M120" s="310"/>
      <c r="N120" s="309"/>
      <c r="O120" s="67"/>
      <c r="P120" s="67"/>
      <c r="Q120" s="67"/>
      <c r="R120" s="67"/>
      <c r="S120" s="67"/>
      <c r="T120" s="67"/>
      <c r="U120" s="60"/>
      <c r="V120" s="60"/>
    </row>
    <row r="121" spans="1:22">
      <c r="A121" s="63"/>
      <c r="B121" s="301"/>
      <c r="C121" s="302"/>
      <c r="D121" s="303"/>
      <c r="E121" s="304"/>
      <c r="F121" s="305"/>
      <c r="G121" s="306"/>
      <c r="H121" s="307"/>
      <c r="I121" s="308"/>
      <c r="J121" s="309"/>
      <c r="K121" s="309"/>
      <c r="L121" s="309"/>
      <c r="M121" s="310"/>
      <c r="N121" s="309"/>
      <c r="O121" s="67"/>
      <c r="P121" s="67"/>
      <c r="Q121" s="67"/>
      <c r="R121" s="67"/>
      <c r="S121" s="67"/>
      <c r="T121" s="67"/>
      <c r="U121" s="60"/>
      <c r="V121" s="60"/>
    </row>
    <row r="122" spans="1:22">
      <c r="A122" s="63"/>
      <c r="C122" s="80"/>
      <c r="D122" s="39"/>
      <c r="E122" s="31"/>
      <c r="F122" s="57"/>
      <c r="G122" s="104"/>
      <c r="H122" s="57"/>
      <c r="J122" s="67"/>
      <c r="K122" s="83"/>
      <c r="L122" s="83"/>
      <c r="M122" s="83"/>
      <c r="N122" s="83"/>
      <c r="O122" s="60"/>
      <c r="P122" s="90"/>
      <c r="Q122" s="60"/>
      <c r="R122" s="60"/>
      <c r="S122" s="60"/>
      <c r="T122" s="117"/>
    </row>
    <row r="123" spans="1:22">
      <c r="A123" s="63"/>
      <c r="C123" s="80"/>
      <c r="D123" s="39"/>
      <c r="E123" s="31"/>
      <c r="F123" s="57"/>
      <c r="G123" s="104"/>
      <c r="H123" s="57"/>
      <c r="J123" s="67"/>
      <c r="K123" s="83"/>
      <c r="L123" s="83"/>
      <c r="M123" s="83"/>
      <c r="N123" s="83"/>
      <c r="O123" s="60"/>
      <c r="P123" s="90"/>
      <c r="Q123" s="60"/>
      <c r="R123" s="60"/>
      <c r="S123" s="60"/>
      <c r="T123" s="117"/>
    </row>
    <row r="124" spans="1:22">
      <c r="A124" s="63"/>
      <c r="C124" s="66"/>
      <c r="P124" s="61"/>
    </row>
    <row r="125" spans="1:22">
      <c r="A125" s="63"/>
      <c r="C125" s="316" t="s">
        <v>91</v>
      </c>
      <c r="D125" s="316"/>
      <c r="E125" s="79"/>
      <c r="F125" s="79"/>
    </row>
    <row r="126" spans="1:22">
      <c r="A126" s="63"/>
      <c r="D126" s="55" t="s">
        <v>17</v>
      </c>
      <c r="E126" s="38"/>
      <c r="F126" s="38"/>
      <c r="H126" s="81" t="s">
        <v>96</v>
      </c>
      <c r="J126" s="42"/>
      <c r="O126" s="59"/>
    </row>
    <row r="127" spans="1:22">
      <c r="A127" s="63"/>
      <c r="C127" s="58" t="s">
        <v>33</v>
      </c>
      <c r="D127" s="163">
        <f>'Disposal Summary (with IC)'!T33+'Disposal Summary (with IC)'!T43</f>
        <v>10081.438925087001</v>
      </c>
      <c r="E127" s="57"/>
      <c r="F127" s="57"/>
      <c r="G127" s="105"/>
      <c r="H127" s="82"/>
      <c r="J127" s="42"/>
      <c r="O127" s="59"/>
    </row>
    <row r="128" spans="1:22">
      <c r="A128" s="63"/>
      <c r="C128" s="58" t="s">
        <v>34</v>
      </c>
      <c r="D128" s="36">
        <f>D127*2000</f>
        <v>20162877.850174002</v>
      </c>
      <c r="E128" s="36"/>
      <c r="F128" s="36"/>
      <c r="H128" s="92"/>
      <c r="J128" s="42"/>
    </row>
    <row r="129" spans="1:15">
      <c r="A129" s="63"/>
      <c r="C129" s="58" t="s">
        <v>5</v>
      </c>
      <c r="D129" s="36">
        <f>F50</f>
        <v>597256</v>
      </c>
      <c r="E129" s="57"/>
      <c r="F129" s="57"/>
      <c r="H129" s="93"/>
      <c r="J129" s="42"/>
      <c r="O129" s="59"/>
    </row>
    <row r="130" spans="1:15">
      <c r="C130" s="43" t="s">
        <v>12</v>
      </c>
      <c r="D130" s="35">
        <f>D128/$H$50</f>
        <v>0.62753222911436035</v>
      </c>
      <c r="E130" s="35"/>
      <c r="F130" s="35"/>
      <c r="H130" s="30"/>
      <c r="J130" s="42"/>
      <c r="M130" s="41"/>
      <c r="N130" s="41"/>
      <c r="O130" s="40"/>
    </row>
    <row r="131" spans="1:15">
      <c r="G131" s="105"/>
      <c r="H131" s="32"/>
      <c r="J131" s="42"/>
      <c r="M131" s="44"/>
      <c r="N131" s="29"/>
      <c r="O131" s="61"/>
    </row>
    <row r="132" spans="1:15">
      <c r="D132" s="34"/>
      <c r="E132" s="33"/>
      <c r="G132" s="105"/>
      <c r="H132" s="32"/>
      <c r="J132" s="42"/>
      <c r="M132" s="44"/>
      <c r="N132" s="29"/>
      <c r="O132" s="61"/>
    </row>
    <row r="133" spans="1:15">
      <c r="D133" s="34"/>
      <c r="E133" s="33"/>
      <c r="G133" s="105"/>
      <c r="H133" s="32"/>
      <c r="J133" s="42"/>
      <c r="M133" s="44"/>
      <c r="N133" s="29"/>
      <c r="O133" s="61"/>
    </row>
    <row r="134" spans="1:15">
      <c r="D134" s="58"/>
      <c r="I134" s="58"/>
    </row>
    <row r="135" spans="1:15">
      <c r="D135" s="58"/>
      <c r="E135" s="42"/>
      <c r="I135" s="58"/>
    </row>
    <row r="136" spans="1:15">
      <c r="D136" s="58"/>
      <c r="I136" s="58"/>
    </row>
    <row r="137" spans="1:15">
      <c r="D137" s="58"/>
      <c r="I137" s="58"/>
    </row>
    <row r="138" spans="1:15">
      <c r="D138" s="58"/>
    </row>
  </sheetData>
  <mergeCells count="4">
    <mergeCell ref="C125:D125"/>
    <mergeCell ref="A2:A12"/>
    <mergeCell ref="A16:A36"/>
    <mergeCell ref="A38:A46"/>
  </mergeCells>
  <phoneticPr fontId="76" type="noConversion"/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ignoredErrors>
    <ignoredError sqref="E7 N6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opLeftCell="A12" zoomScaleNormal="100" workbookViewId="0">
      <selection activeCell="B33" sqref="B33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3.1406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319" t="s">
        <v>19</v>
      </c>
      <c r="B1" s="319"/>
      <c r="C1" s="319"/>
      <c r="D1" s="319"/>
      <c r="E1" s="319"/>
      <c r="F1" s="319"/>
      <c r="G1" s="319"/>
      <c r="H1" s="319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319" t="s">
        <v>11</v>
      </c>
      <c r="B11" s="319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97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12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23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8" t="s">
        <v>99</v>
      </c>
      <c r="C43" s="98"/>
      <c r="D43" s="98"/>
    </row>
    <row r="46" spans="1:8">
      <c r="A46" s="21" t="s">
        <v>107</v>
      </c>
      <c r="B46" s="19" t="s">
        <v>6</v>
      </c>
      <c r="C46" s="19" t="s">
        <v>7</v>
      </c>
      <c r="F46" s="320" t="s">
        <v>27</v>
      </c>
      <c r="G46" s="320"/>
    </row>
    <row r="47" spans="1:8">
      <c r="A47" s="15" t="s">
        <v>8</v>
      </c>
      <c r="B47" s="271">
        <v>154.02000000000001</v>
      </c>
      <c r="C47" s="145">
        <f>B47/2000</f>
        <v>7.7010000000000009E-2</v>
      </c>
      <c r="D47" s="144"/>
      <c r="F47" s="3" t="s">
        <v>28</v>
      </c>
      <c r="G47" s="150">
        <f>0.0175</f>
        <v>1.7500000000000002E-2</v>
      </c>
    </row>
    <row r="48" spans="1:8">
      <c r="A48" s="15" t="s">
        <v>9</v>
      </c>
      <c r="B48" s="272">
        <v>168.68</v>
      </c>
      <c r="C48" s="143">
        <f>B48/2000</f>
        <v>8.4339999999999998E-2</v>
      </c>
      <c r="D48" s="144"/>
      <c r="F48" s="3" t="s">
        <v>29</v>
      </c>
      <c r="G48" s="151">
        <v>5.1000000000000004E-3</v>
      </c>
    </row>
    <row r="49" spans="1:7">
      <c r="A49" s="13" t="s">
        <v>10</v>
      </c>
      <c r="B49" s="146">
        <f>B48-B47</f>
        <v>14.659999999999997</v>
      </c>
      <c r="C49" s="274">
        <f>C48-C47</f>
        <v>7.3299999999999893E-3</v>
      </c>
      <c r="D49" s="273">
        <f>B49/2000</f>
        <v>7.329999999999998E-3</v>
      </c>
      <c r="F49" s="3" t="s">
        <v>55</v>
      </c>
      <c r="G49" s="152">
        <v>2E-3</v>
      </c>
    </row>
    <row r="50" spans="1:7">
      <c r="B50" s="144"/>
      <c r="C50" s="144"/>
      <c r="D50" s="144"/>
      <c r="F50" s="3" t="s">
        <v>17</v>
      </c>
      <c r="G50" s="16">
        <f>SUM(G47:G49)</f>
        <v>2.4600000000000004E-2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14.659999999999997</v>
      </c>
      <c r="F52" s="3" t="s">
        <v>30</v>
      </c>
      <c r="G52" s="18">
        <f>1-G50</f>
        <v>0.97540000000000004</v>
      </c>
    </row>
    <row r="53" spans="1:7">
      <c r="A53" s="3" t="s">
        <v>26</v>
      </c>
      <c r="B53" s="17">
        <f>B52/$G$52</f>
        <v>15.02973139224933</v>
      </c>
    </row>
    <row r="54" spans="1:7">
      <c r="A54" s="3" t="s">
        <v>25</v>
      </c>
      <c r="B54" s="6">
        <f>'Price Out Rates'!D127</f>
        <v>10081.438925087001</v>
      </c>
    </row>
    <row r="55" spans="1:7">
      <c r="A55" s="2" t="s">
        <v>31</v>
      </c>
      <c r="B55" s="4">
        <f>B53*B54</f>
        <v>151521.31909142443</v>
      </c>
    </row>
    <row r="58" spans="1:7" ht="15.75" thickBot="1"/>
    <row r="59" spans="1:7">
      <c r="A59" s="84" t="s">
        <v>90</v>
      </c>
      <c r="B59" s="85" t="s">
        <v>89</v>
      </c>
    </row>
    <row r="60" spans="1:7">
      <c r="A60" s="86" t="s">
        <v>51</v>
      </c>
      <c r="B60" s="87">
        <f>'Price Out Rates'!T50</f>
        <v>151521.31909142426</v>
      </c>
    </row>
    <row r="61" spans="1:7" ht="15.75" thickBot="1">
      <c r="A61" s="88" t="s">
        <v>13</v>
      </c>
      <c r="B61" s="89">
        <f>B60-B55</f>
        <v>0</v>
      </c>
      <c r="C61" s="17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46A9-DC96-402F-86F0-B36D94AB90AA}">
  <sheetPr>
    <pageSetUpPr fitToPage="1"/>
  </sheetPr>
  <dimension ref="A1:Z517"/>
  <sheetViews>
    <sheetView workbookViewId="0">
      <selection sqref="A1:F1"/>
    </sheetView>
  </sheetViews>
  <sheetFormatPr defaultRowHeight="15" outlineLevelRow="1" outlineLevelCol="1"/>
  <cols>
    <col min="1" max="1" width="9.42578125" style="172" customWidth="1" outlineLevel="1"/>
    <col min="2" max="2" width="7.28515625" style="172" customWidth="1" outlineLevel="1"/>
    <col min="3" max="5" width="7.140625" style="164" customWidth="1" outlineLevel="1"/>
    <col min="6" max="6" width="34.28515625" style="164" customWidth="1"/>
    <col min="7" max="18" width="14.140625" style="164" customWidth="1"/>
    <col min="19" max="19" width="1.28515625" style="164" customWidth="1"/>
    <col min="20" max="20" width="13.7109375" style="165" bestFit="1" customWidth="1"/>
    <col min="21" max="21" width="2.42578125" style="164" customWidth="1"/>
    <col min="22" max="23" width="17.28515625" style="164" customWidth="1"/>
    <col min="24" max="16384" width="9.140625" style="164"/>
  </cols>
  <sheetData>
    <row r="1" spans="1:20">
      <c r="A1" s="321" t="s">
        <v>285</v>
      </c>
      <c r="B1" s="321"/>
      <c r="C1" s="321"/>
      <c r="D1" s="321"/>
      <c r="E1" s="321"/>
      <c r="F1" s="321"/>
    </row>
    <row r="3" spans="1:20" s="165" customFormat="1">
      <c r="A3" s="166" t="s">
        <v>133</v>
      </c>
      <c r="B3" s="166" t="s">
        <v>134</v>
      </c>
      <c r="C3" s="322" t="s">
        <v>135</v>
      </c>
      <c r="D3" s="322"/>
      <c r="E3" s="166"/>
      <c r="G3" s="167">
        <v>43831</v>
      </c>
      <c r="H3" s="168">
        <f>EOMONTH(G3,1)</f>
        <v>43890</v>
      </c>
      <c r="I3" s="168">
        <f t="shared" ref="I3:R3" si="0">EOMONTH(H3,1)</f>
        <v>43921</v>
      </c>
      <c r="J3" s="168">
        <f t="shared" si="0"/>
        <v>43951</v>
      </c>
      <c r="K3" s="168">
        <f t="shared" si="0"/>
        <v>43982</v>
      </c>
      <c r="L3" s="168">
        <f t="shared" si="0"/>
        <v>44012</v>
      </c>
      <c r="M3" s="168">
        <f t="shared" si="0"/>
        <v>44043</v>
      </c>
      <c r="N3" s="168">
        <f t="shared" si="0"/>
        <v>44074</v>
      </c>
      <c r="O3" s="168">
        <f t="shared" si="0"/>
        <v>44104</v>
      </c>
      <c r="P3" s="168">
        <f t="shared" si="0"/>
        <v>44135</v>
      </c>
      <c r="Q3" s="168">
        <f t="shared" si="0"/>
        <v>44165</v>
      </c>
      <c r="R3" s="168">
        <f t="shared" si="0"/>
        <v>44196</v>
      </c>
      <c r="T3" s="165" t="s">
        <v>110</v>
      </c>
    </row>
    <row r="4" spans="1:20" s="170" customFormat="1">
      <c r="A4" s="169"/>
      <c r="B4" s="169"/>
      <c r="C4" s="169"/>
      <c r="D4" s="169"/>
      <c r="E4" s="169"/>
      <c r="G4" s="170">
        <f>MONTH(G3)</f>
        <v>1</v>
      </c>
      <c r="H4" s="170">
        <f t="shared" ref="H4:R4" si="1">MONTH(H3)</f>
        <v>2</v>
      </c>
      <c r="I4" s="170">
        <f t="shared" si="1"/>
        <v>3</v>
      </c>
      <c r="J4" s="170">
        <f t="shared" si="1"/>
        <v>4</v>
      </c>
      <c r="K4" s="170">
        <f t="shared" si="1"/>
        <v>5</v>
      </c>
      <c r="L4" s="170">
        <f t="shared" si="1"/>
        <v>6</v>
      </c>
      <c r="M4" s="170">
        <f t="shared" si="1"/>
        <v>7</v>
      </c>
      <c r="N4" s="170">
        <f t="shared" si="1"/>
        <v>8</v>
      </c>
      <c r="O4" s="170">
        <f t="shared" si="1"/>
        <v>9</v>
      </c>
      <c r="P4" s="170">
        <f t="shared" si="1"/>
        <v>10</v>
      </c>
      <c r="Q4" s="170">
        <f t="shared" si="1"/>
        <v>11</v>
      </c>
      <c r="R4" s="170">
        <f t="shared" si="1"/>
        <v>12</v>
      </c>
      <c r="T4" s="171"/>
    </row>
    <row r="5" spans="1:20" ht="15.75" thickBot="1">
      <c r="C5" s="172"/>
      <c r="D5" s="172"/>
      <c r="E5" s="172"/>
      <c r="F5" s="173" t="s">
        <v>136</v>
      </c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3"/>
    </row>
    <row r="6" spans="1:20">
      <c r="C6" s="172"/>
      <c r="D6" s="172"/>
      <c r="E6" s="172"/>
    </row>
    <row r="7" spans="1:20">
      <c r="C7" s="172"/>
      <c r="D7" s="172"/>
      <c r="E7" s="172"/>
      <c r="F7" s="165" t="s">
        <v>137</v>
      </c>
    </row>
    <row r="8" spans="1:20">
      <c r="C8" s="172"/>
      <c r="D8" s="172"/>
      <c r="E8" s="172"/>
      <c r="F8" s="164" t="s">
        <v>138</v>
      </c>
      <c r="G8" s="175">
        <v>1964.82</v>
      </c>
      <c r="H8" s="175">
        <v>1898.05</v>
      </c>
      <c r="I8" s="175">
        <v>1737.76</v>
      </c>
      <c r="J8" s="175">
        <v>1344.05</v>
      </c>
      <c r="K8" s="175">
        <v>1391.12</v>
      </c>
      <c r="L8" s="175">
        <v>1557.21</v>
      </c>
      <c r="M8" s="175">
        <v>1664.74</v>
      </c>
      <c r="N8" s="175">
        <v>1745.72</v>
      </c>
      <c r="O8" s="175">
        <v>1740.29</v>
      </c>
      <c r="P8" s="175">
        <v>1744.15</v>
      </c>
      <c r="Q8" s="175">
        <v>1609.37</v>
      </c>
      <c r="R8" s="175">
        <v>1609.7</v>
      </c>
      <c r="T8" s="176">
        <f>SUM(G8:S8)</f>
        <v>20006.98</v>
      </c>
    </row>
    <row r="9" spans="1:20">
      <c r="C9" s="172"/>
      <c r="D9" s="172"/>
      <c r="E9" s="172"/>
      <c r="F9" s="164" t="s">
        <v>139</v>
      </c>
      <c r="G9" s="175">
        <v>2161.2600000000002</v>
      </c>
      <c r="H9" s="175">
        <v>2269.81</v>
      </c>
      <c r="I9" s="175">
        <v>2250.9699999999998</v>
      </c>
      <c r="J9" s="175">
        <v>1043.72</v>
      </c>
      <c r="K9" s="175">
        <v>1356.68</v>
      </c>
      <c r="L9" s="175">
        <v>1808.54</v>
      </c>
      <c r="M9" s="175">
        <v>2001.51</v>
      </c>
      <c r="N9" s="175">
        <v>1876.8400000000001</v>
      </c>
      <c r="O9" s="175">
        <v>1888.19</v>
      </c>
      <c r="P9" s="175">
        <v>2138.87</v>
      </c>
      <c r="Q9" s="175">
        <v>1832.96</v>
      </c>
      <c r="R9" s="175">
        <v>1675.1400000000003</v>
      </c>
      <c r="T9" s="176">
        <f t="shared" ref="T9:T15" si="2">SUM(G9:S9)</f>
        <v>22304.489999999998</v>
      </c>
    </row>
    <row r="10" spans="1:20">
      <c r="C10" s="172"/>
      <c r="D10" s="172"/>
      <c r="E10" s="172"/>
      <c r="F10" s="164" t="s">
        <v>140</v>
      </c>
      <c r="G10" s="175">
        <v>3365.14</v>
      </c>
      <c r="H10" s="175">
        <v>3073.12</v>
      </c>
      <c r="I10" s="175">
        <v>2905.45</v>
      </c>
      <c r="J10" s="175">
        <v>2336.17</v>
      </c>
      <c r="K10" s="175">
        <v>2469.65</v>
      </c>
      <c r="L10" s="175">
        <v>2908.44</v>
      </c>
      <c r="M10" s="175">
        <v>2954.61</v>
      </c>
      <c r="N10" s="175">
        <v>2825.5</v>
      </c>
      <c r="O10" s="175">
        <v>2941.75</v>
      </c>
      <c r="P10" s="175">
        <v>2931.94</v>
      </c>
      <c r="Q10" s="175">
        <v>2837.99</v>
      </c>
      <c r="R10" s="175">
        <v>2917.8700000000003</v>
      </c>
      <c r="T10" s="176">
        <f t="shared" si="2"/>
        <v>34467.629999999997</v>
      </c>
    </row>
    <row r="11" spans="1:20">
      <c r="C11" s="172"/>
      <c r="D11" s="172"/>
      <c r="E11" s="172"/>
      <c r="F11" s="164" t="s">
        <v>141</v>
      </c>
      <c r="G11" s="175">
        <v>1272.26</v>
      </c>
      <c r="H11" s="175">
        <v>1076.06</v>
      </c>
      <c r="I11" s="175">
        <v>985.24</v>
      </c>
      <c r="J11" s="175">
        <v>723.29</v>
      </c>
      <c r="K11" s="175">
        <v>771.98</v>
      </c>
      <c r="L11" s="175">
        <v>946.82</v>
      </c>
      <c r="M11" s="175">
        <v>980.48</v>
      </c>
      <c r="N11" s="175">
        <v>935.11</v>
      </c>
      <c r="O11" s="175">
        <v>1009.9</v>
      </c>
      <c r="P11" s="175">
        <v>1073.03</v>
      </c>
      <c r="Q11" s="175">
        <v>1040.52</v>
      </c>
      <c r="R11" s="175">
        <v>1150.55</v>
      </c>
      <c r="T11" s="176">
        <f t="shared" si="2"/>
        <v>11965.24</v>
      </c>
    </row>
    <row r="12" spans="1:20">
      <c r="C12" s="172"/>
      <c r="D12" s="172"/>
      <c r="E12" s="172"/>
      <c r="F12" s="164" t="s">
        <v>142</v>
      </c>
      <c r="G12" s="175">
        <v>3250.76</v>
      </c>
      <c r="H12" s="175">
        <v>2696.35</v>
      </c>
      <c r="I12" s="175">
        <v>3183.31</v>
      </c>
      <c r="J12" s="175">
        <v>3393.88</v>
      </c>
      <c r="K12" s="175">
        <v>3373.35</v>
      </c>
      <c r="L12" s="175">
        <v>3566.57</v>
      </c>
      <c r="M12" s="175">
        <v>3744.6</v>
      </c>
      <c r="N12" s="175">
        <v>3448.48</v>
      </c>
      <c r="O12" s="175">
        <v>3561.47</v>
      </c>
      <c r="P12" s="175">
        <v>3521.65</v>
      </c>
      <c r="Q12" s="175">
        <v>3342.35</v>
      </c>
      <c r="R12" s="175">
        <v>3655.11</v>
      </c>
      <c r="T12" s="176">
        <f>SUM(G12:S12)</f>
        <v>40737.879999999997</v>
      </c>
    </row>
    <row r="13" spans="1:20">
      <c r="C13" s="172"/>
      <c r="D13" s="172"/>
      <c r="E13" s="172"/>
      <c r="F13" s="164" t="s">
        <v>143</v>
      </c>
      <c r="G13" s="175">
        <v>2274.9299999999998</v>
      </c>
      <c r="H13" s="175">
        <v>1759.84</v>
      </c>
      <c r="I13" s="175">
        <v>2069.36</v>
      </c>
      <c r="J13" s="175">
        <v>2211.23</v>
      </c>
      <c r="K13" s="175">
        <v>2134.94</v>
      </c>
      <c r="L13" s="175">
        <v>2313.21</v>
      </c>
      <c r="M13" s="175">
        <v>2323.0100000000002</v>
      </c>
      <c r="N13" s="175">
        <v>2118.39</v>
      </c>
      <c r="O13" s="175">
        <v>2372.42</v>
      </c>
      <c r="P13" s="175">
        <v>2223.6</v>
      </c>
      <c r="Q13" s="175">
        <v>2272.7199999999998</v>
      </c>
      <c r="R13" s="175">
        <v>2721.31</v>
      </c>
      <c r="T13" s="176">
        <f>SUM(G13:S13)</f>
        <v>26794.960000000003</v>
      </c>
    </row>
    <row r="14" spans="1:20">
      <c r="C14" s="172"/>
      <c r="D14" s="172"/>
      <c r="E14" s="172"/>
      <c r="F14" s="177" t="s">
        <v>144</v>
      </c>
      <c r="G14" s="178">
        <v>2209.81</v>
      </c>
      <c r="H14" s="178">
        <v>2435.79</v>
      </c>
      <c r="I14" s="178">
        <v>3750.32</v>
      </c>
      <c r="J14" s="178">
        <v>5046.71</v>
      </c>
      <c r="K14" s="178">
        <v>5959.48</v>
      </c>
      <c r="L14" s="178">
        <v>5805.64</v>
      </c>
      <c r="M14" s="178">
        <v>4891.28</v>
      </c>
      <c r="N14" s="178">
        <v>3480.62</v>
      </c>
      <c r="O14" s="178">
        <v>3523.82</v>
      </c>
      <c r="P14" s="178">
        <v>4752.13</v>
      </c>
      <c r="Q14" s="178">
        <v>5834.51</v>
      </c>
      <c r="R14" s="178">
        <v>4028.3</v>
      </c>
      <c r="S14" s="177"/>
      <c r="T14" s="179">
        <f t="shared" si="2"/>
        <v>51718.41</v>
      </c>
    </row>
    <row r="15" spans="1:20">
      <c r="C15" s="172"/>
      <c r="D15" s="172"/>
      <c r="E15" s="172"/>
      <c r="F15" s="164" t="s">
        <v>110</v>
      </c>
      <c r="G15" s="180">
        <f t="shared" ref="G15:Q15" si="3">SUM(G8:G14)</f>
        <v>16498.98</v>
      </c>
      <c r="H15" s="180">
        <f t="shared" si="3"/>
        <v>15209.02</v>
      </c>
      <c r="I15" s="180">
        <f t="shared" si="3"/>
        <v>16882.41</v>
      </c>
      <c r="J15" s="180">
        <f t="shared" si="3"/>
        <v>16099.05</v>
      </c>
      <c r="K15" s="180">
        <f t="shared" si="3"/>
        <v>17457.2</v>
      </c>
      <c r="L15" s="180">
        <f t="shared" si="3"/>
        <v>18906.43</v>
      </c>
      <c r="M15" s="180">
        <f t="shared" si="3"/>
        <v>18560.23</v>
      </c>
      <c r="N15" s="180">
        <f t="shared" si="3"/>
        <v>16430.66</v>
      </c>
      <c r="O15" s="180">
        <f t="shared" si="3"/>
        <v>17037.84</v>
      </c>
      <c r="P15" s="180">
        <f t="shared" si="3"/>
        <v>18385.37</v>
      </c>
      <c r="Q15" s="180">
        <f t="shared" si="3"/>
        <v>18770.419999999998</v>
      </c>
      <c r="R15" s="180">
        <f>SUM(R8:R14)</f>
        <v>17757.98</v>
      </c>
      <c r="T15" s="176">
        <f t="shared" si="2"/>
        <v>207995.59</v>
      </c>
    </row>
    <row r="16" spans="1:20">
      <c r="C16" s="172"/>
      <c r="D16" s="172"/>
      <c r="E16" s="172"/>
    </row>
    <row r="17" spans="1:26">
      <c r="C17" s="172"/>
      <c r="D17" s="172"/>
      <c r="E17" s="172"/>
      <c r="F17" s="165" t="s">
        <v>145</v>
      </c>
      <c r="G17" s="175"/>
      <c r="H17" s="175"/>
      <c r="U17" s="181"/>
      <c r="V17" s="181"/>
      <c r="W17" s="181"/>
      <c r="X17" s="181"/>
      <c r="Y17" s="181"/>
      <c r="Z17" s="181"/>
    </row>
    <row r="18" spans="1:26">
      <c r="A18" s="182" t="s">
        <v>146</v>
      </c>
      <c r="B18" s="182" t="s">
        <v>147</v>
      </c>
      <c r="C18" s="182">
        <v>20</v>
      </c>
      <c r="D18" s="182" t="s">
        <v>148</v>
      </c>
      <c r="E18" s="182" t="s">
        <v>149</v>
      </c>
      <c r="F18" s="164" t="s">
        <v>150</v>
      </c>
      <c r="G18" s="175">
        <v>93.780000000000143</v>
      </c>
      <c r="H18" s="175">
        <v>74.239999999999924</v>
      </c>
      <c r="I18" s="175">
        <v>91.599999999999952</v>
      </c>
      <c r="J18" s="175">
        <v>76.559999999999874</v>
      </c>
      <c r="K18" s="175">
        <v>68.210000000000051</v>
      </c>
      <c r="L18" s="175">
        <v>84.080000000000027</v>
      </c>
      <c r="M18" s="175">
        <v>74.949999999999903</v>
      </c>
      <c r="N18" s="175">
        <v>87.969999999999828</v>
      </c>
      <c r="O18" s="175">
        <v>89.169999999999902</v>
      </c>
      <c r="P18" s="175">
        <v>81.459999999999823</v>
      </c>
      <c r="Q18" s="175">
        <v>92.950000000000173</v>
      </c>
      <c r="R18" s="175">
        <v>80.989999999999895</v>
      </c>
      <c r="S18" s="175"/>
      <c r="T18" s="176">
        <f>SUM(G18:S18)</f>
        <v>995.95999999999935</v>
      </c>
      <c r="U18" s="175"/>
      <c r="V18" s="175"/>
      <c r="W18" s="175"/>
      <c r="X18" s="175"/>
      <c r="Y18" s="175"/>
      <c r="Z18" s="175"/>
    </row>
    <row r="19" spans="1:26">
      <c r="A19" s="172" t="s">
        <v>151</v>
      </c>
      <c r="B19" s="183" t="s">
        <v>152</v>
      </c>
      <c r="C19" s="164" t="s">
        <v>153</v>
      </c>
      <c r="D19" s="164" t="s">
        <v>154</v>
      </c>
      <c r="F19" s="164" t="s">
        <v>155</v>
      </c>
      <c r="G19" s="175">
        <f t="shared" ref="G19:R19" si="4">+G20-G18</f>
        <v>1871.0399999999997</v>
      </c>
      <c r="H19" s="175">
        <f t="shared" si="4"/>
        <v>1823.8100000000004</v>
      </c>
      <c r="I19" s="175">
        <f t="shared" si="4"/>
        <v>1646.1599999999999</v>
      </c>
      <c r="J19" s="175">
        <f t="shared" si="4"/>
        <v>1267.49</v>
      </c>
      <c r="K19" s="175">
        <f t="shared" si="4"/>
        <v>1322.9099999999996</v>
      </c>
      <c r="L19" s="175">
        <f t="shared" si="4"/>
        <v>1473.1299999999999</v>
      </c>
      <c r="M19" s="175">
        <f t="shared" si="4"/>
        <v>1589.0600000000002</v>
      </c>
      <c r="N19" s="175">
        <f t="shared" si="4"/>
        <v>1674.6500000000003</v>
      </c>
      <c r="O19" s="175">
        <f t="shared" si="4"/>
        <v>1653.0600000000004</v>
      </c>
      <c r="P19" s="175">
        <f t="shared" si="4"/>
        <v>1660.01</v>
      </c>
      <c r="Q19" s="175">
        <f t="shared" si="4"/>
        <v>1516.4199999999996</v>
      </c>
      <c r="R19" s="175">
        <f t="shared" si="4"/>
        <v>1533.46</v>
      </c>
      <c r="S19" s="175"/>
      <c r="T19" s="176">
        <f>SUM(G19:S19)</f>
        <v>19031.199999999997</v>
      </c>
      <c r="U19" s="175"/>
      <c r="V19" s="175"/>
      <c r="W19" s="175"/>
      <c r="X19" s="175"/>
      <c r="Y19" s="175"/>
      <c r="Z19" s="175"/>
    </row>
    <row r="20" spans="1:26" s="190" customFormat="1" outlineLevel="1">
      <c r="A20" s="184" t="str">
        <f>+A18</f>
        <v>I</v>
      </c>
      <c r="B20" s="185" t="str">
        <f>+B18</f>
        <v>MSW</v>
      </c>
      <c r="C20" s="186"/>
      <c r="D20" s="186"/>
      <c r="E20" s="186"/>
      <c r="F20" s="186" t="str">
        <f>"Total "&amp;F17&amp;" "&amp;B20</f>
        <v>Total Roll-off / Industrial MSW</v>
      </c>
      <c r="G20" s="187">
        <v>1964.82</v>
      </c>
      <c r="H20" s="187">
        <v>1898.0500000000004</v>
      </c>
      <c r="I20" s="187">
        <v>1737.7599999999998</v>
      </c>
      <c r="J20" s="187">
        <v>1344.05</v>
      </c>
      <c r="K20" s="187">
        <v>1391.1199999999997</v>
      </c>
      <c r="L20" s="187">
        <v>1557.2099999999998</v>
      </c>
      <c r="M20" s="187">
        <v>1664.01</v>
      </c>
      <c r="N20" s="187">
        <v>1762.6200000000001</v>
      </c>
      <c r="O20" s="187">
        <v>1742.2300000000002</v>
      </c>
      <c r="P20" s="187">
        <v>1741.4699999999998</v>
      </c>
      <c r="Q20" s="187">
        <v>1609.37</v>
      </c>
      <c r="R20" s="187">
        <v>1614.4499999999998</v>
      </c>
      <c r="S20" s="187"/>
      <c r="T20" s="188">
        <f>SUM(G20:S20)</f>
        <v>20027.16</v>
      </c>
      <c r="U20" s="189"/>
      <c r="V20" s="189"/>
      <c r="W20" s="189"/>
      <c r="X20" s="189"/>
      <c r="Y20" s="189"/>
      <c r="Z20" s="189"/>
    </row>
    <row r="21" spans="1:26">
      <c r="A21" s="172" t="str">
        <f>+A20</f>
        <v>I</v>
      </c>
      <c r="B21" s="182" t="s">
        <v>156</v>
      </c>
      <c r="C21" s="172">
        <f>+C18</f>
        <v>20</v>
      </c>
      <c r="D21" s="172" t="str">
        <f>+D18</f>
        <v>2B</v>
      </c>
      <c r="E21" s="172">
        <v>78</v>
      </c>
      <c r="F21" s="164" t="s">
        <v>157</v>
      </c>
      <c r="G21" s="175">
        <v>26.580000000000005</v>
      </c>
      <c r="H21" s="175">
        <v>20.86</v>
      </c>
      <c r="I21" s="175">
        <v>14.86</v>
      </c>
      <c r="J21" s="175">
        <v>20.700000000000003</v>
      </c>
      <c r="K21" s="175">
        <v>10.940000000000001</v>
      </c>
      <c r="L21" s="175">
        <v>12.710000000000003</v>
      </c>
      <c r="M21" s="175">
        <v>17.03</v>
      </c>
      <c r="N21" s="175">
        <v>15.989999999999998</v>
      </c>
      <c r="O21" s="175">
        <v>20.98</v>
      </c>
      <c r="P21" s="175">
        <v>20.470000000000002</v>
      </c>
      <c r="Q21" s="175">
        <v>14.33</v>
      </c>
      <c r="R21" s="175">
        <v>24.669999999999998</v>
      </c>
      <c r="S21" s="175"/>
      <c r="T21" s="176">
        <f>SUM(G21:S21)</f>
        <v>220.12</v>
      </c>
      <c r="U21" s="175"/>
      <c r="V21" s="191"/>
      <c r="W21" s="175"/>
      <c r="X21" s="175"/>
      <c r="Y21" s="175"/>
      <c r="Z21" s="175"/>
    </row>
    <row r="22" spans="1:26">
      <c r="C22" s="164" t="s">
        <v>158</v>
      </c>
      <c r="F22" s="164" t="s">
        <v>159</v>
      </c>
      <c r="G22" s="175">
        <f t="shared" ref="G22:R22" si="5">+G23-G21</f>
        <v>2188.1299999999997</v>
      </c>
      <c r="H22" s="175">
        <f t="shared" si="5"/>
        <v>2317.6630000000005</v>
      </c>
      <c r="I22" s="175">
        <f t="shared" si="5"/>
        <v>2247.9999999999995</v>
      </c>
      <c r="J22" s="175">
        <f t="shared" si="5"/>
        <v>1073.2300000000002</v>
      </c>
      <c r="K22" s="175">
        <f t="shared" si="5"/>
        <v>1438.63</v>
      </c>
      <c r="L22" s="175">
        <f t="shared" si="5"/>
        <v>1818.89</v>
      </c>
      <c r="M22" s="175">
        <f t="shared" si="5"/>
        <v>2042.03</v>
      </c>
      <c r="N22" s="175">
        <f t="shared" si="5"/>
        <v>1957.0120000000004</v>
      </c>
      <c r="O22" s="175">
        <f t="shared" si="5"/>
        <v>1995.7500000000002</v>
      </c>
      <c r="P22" s="175">
        <f t="shared" si="5"/>
        <v>2236.96</v>
      </c>
      <c r="Q22" s="175">
        <f t="shared" si="5"/>
        <v>1907.4100000000005</v>
      </c>
      <c r="R22" s="175">
        <f t="shared" si="5"/>
        <v>1745.81</v>
      </c>
      <c r="S22" s="175"/>
      <c r="T22" s="176">
        <f>SUM(G22:S22)</f>
        <v>22969.515000000003</v>
      </c>
      <c r="U22" s="175"/>
      <c r="V22" s="175"/>
      <c r="W22" s="175"/>
      <c r="X22" s="175"/>
      <c r="Y22" s="175"/>
      <c r="Z22" s="175"/>
    </row>
    <row r="23" spans="1:26" s="190" customFormat="1" outlineLevel="1">
      <c r="A23" s="184" t="str">
        <f>+A21</f>
        <v>I</v>
      </c>
      <c r="B23" s="192" t="str">
        <f>+B21</f>
        <v>RCY</v>
      </c>
      <c r="C23" s="193" t="s">
        <v>160</v>
      </c>
      <c r="D23" s="186"/>
      <c r="E23" s="186"/>
      <c r="F23" s="186" t="str">
        <f>"Total "&amp;F17&amp;" "&amp;B23</f>
        <v>Total Roll-off / Industrial RCY</v>
      </c>
      <c r="G23" s="187">
        <v>2214.7099999999996</v>
      </c>
      <c r="H23" s="187">
        <v>2338.5230000000006</v>
      </c>
      <c r="I23" s="187">
        <v>2262.8599999999997</v>
      </c>
      <c r="J23" s="187">
        <v>1093.9300000000003</v>
      </c>
      <c r="K23" s="187">
        <v>1449.5700000000002</v>
      </c>
      <c r="L23" s="187">
        <v>1831.6000000000001</v>
      </c>
      <c r="M23" s="187">
        <v>2059.06</v>
      </c>
      <c r="N23" s="187">
        <v>1973.0020000000004</v>
      </c>
      <c r="O23" s="187">
        <v>2016.7300000000002</v>
      </c>
      <c r="P23" s="187">
        <v>2257.4299999999998</v>
      </c>
      <c r="Q23" s="187">
        <v>1921.7400000000005</v>
      </c>
      <c r="R23" s="187">
        <v>1770.48</v>
      </c>
      <c r="S23" s="187"/>
      <c r="T23" s="188"/>
      <c r="U23" s="189"/>
      <c r="V23" s="189"/>
      <c r="W23" s="189"/>
      <c r="X23" s="189"/>
      <c r="Y23" s="189"/>
      <c r="Z23" s="189"/>
    </row>
    <row r="24" spans="1:26" s="196" customFormat="1">
      <c r="A24" s="194">
        <v>6666666</v>
      </c>
      <c r="B24" s="195" t="s">
        <v>161</v>
      </c>
      <c r="F24" s="196" t="s">
        <v>162</v>
      </c>
      <c r="G24" s="197">
        <f t="array" ref="G24:R24">+T24/12</f>
        <v>0</v>
      </c>
      <c r="H24" s="197">
        <v>0</v>
      </c>
      <c r="I24" s="197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  <c r="P24" s="197">
        <v>0</v>
      </c>
      <c r="Q24" s="197">
        <v>0</v>
      </c>
      <c r="R24" s="197">
        <v>0</v>
      </c>
      <c r="S24" s="197"/>
      <c r="T24" s="198">
        <v>0</v>
      </c>
      <c r="U24" s="197"/>
      <c r="V24" s="197"/>
      <c r="W24" s="197"/>
      <c r="X24" s="197"/>
      <c r="Y24" s="197"/>
      <c r="Z24" s="197"/>
    </row>
    <row r="25" spans="1:26">
      <c r="A25" s="199"/>
      <c r="B25" s="199"/>
      <c r="C25" s="199"/>
      <c r="D25" s="199"/>
      <c r="E25" s="199"/>
      <c r="F25" s="200" t="str">
        <f>"Total "&amp;F17</f>
        <v>Total Roll-off / Industrial</v>
      </c>
      <c r="G25" s="201">
        <v>4179.53</v>
      </c>
      <c r="H25" s="201">
        <v>4236.5729999999994</v>
      </c>
      <c r="I25" s="201">
        <v>4000.6200000000008</v>
      </c>
      <c r="J25" s="201">
        <v>2437.9800000000005</v>
      </c>
      <c r="K25" s="201">
        <v>2840.6899999999996</v>
      </c>
      <c r="L25" s="201">
        <v>3388.8100000000004</v>
      </c>
      <c r="M25" s="201">
        <v>3729.07</v>
      </c>
      <c r="N25" s="201">
        <v>3735.6220000000008</v>
      </c>
      <c r="O25" s="201">
        <v>3760.3</v>
      </c>
      <c r="P25" s="201">
        <v>3998.8999999999992</v>
      </c>
      <c r="Q25" s="201">
        <v>3531.1200000000003</v>
      </c>
      <c r="R25" s="201">
        <v>3421.0099999999984</v>
      </c>
      <c r="S25" s="201"/>
      <c r="T25" s="202">
        <f>SUM(G25:S25)</f>
        <v>43260.225000000006</v>
      </c>
      <c r="U25" s="175"/>
      <c r="V25" s="175"/>
      <c r="W25" s="175"/>
      <c r="X25" s="175"/>
      <c r="Y25" s="175"/>
      <c r="Z25" s="175"/>
    </row>
    <row r="26" spans="1:26">
      <c r="C26" s="172"/>
      <c r="D26" s="172"/>
      <c r="E26" s="172"/>
      <c r="F26" s="203" t="s">
        <v>163</v>
      </c>
      <c r="G26" s="204">
        <f t="shared" ref="G26:R26" si="6">+G25/SUM(G8:G9)-1</f>
        <v>1.2954184116643397E-2</v>
      </c>
      <c r="H26" s="204">
        <f t="shared" si="6"/>
        <v>1.6486398295528115E-2</v>
      </c>
      <c r="I26" s="204">
        <f t="shared" si="6"/>
        <v>2.980898682036992E-3</v>
      </c>
      <c r="J26" s="204">
        <f t="shared" si="6"/>
        <v>2.1027988457849922E-2</v>
      </c>
      <c r="K26" s="204">
        <f t="shared" si="6"/>
        <v>3.3805225998980726E-2</v>
      </c>
      <c r="L26" s="204">
        <f t="shared" si="6"/>
        <v>6.8513704226400574E-3</v>
      </c>
      <c r="M26" s="204">
        <f t="shared" si="6"/>
        <v>1.7134674394817528E-2</v>
      </c>
      <c r="N26" s="204">
        <f t="shared" si="6"/>
        <v>3.121052515348266E-2</v>
      </c>
      <c r="O26" s="204">
        <f t="shared" si="6"/>
        <v>3.6329261839668447E-2</v>
      </c>
      <c r="P26" s="204">
        <f t="shared" si="6"/>
        <v>2.9842751260616529E-2</v>
      </c>
      <c r="Q26" s="204">
        <f t="shared" si="6"/>
        <v>2.5793575862860463E-2</v>
      </c>
      <c r="R26" s="204">
        <f t="shared" si="6"/>
        <v>4.145407386661093E-2</v>
      </c>
      <c r="S26" s="204"/>
      <c r="T26" s="205">
        <f>+T25/SUM(T8:T9)-1</f>
        <v>2.2423116001405896E-2</v>
      </c>
      <c r="U26" s="175"/>
      <c r="V26" s="175"/>
      <c r="W26" s="175"/>
      <c r="X26" s="175"/>
      <c r="Y26" s="175"/>
      <c r="Z26" s="175"/>
    </row>
    <row r="27" spans="1:26">
      <c r="C27" s="172"/>
      <c r="D27" s="172"/>
      <c r="E27" s="172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175"/>
      <c r="V27" s="175"/>
      <c r="W27" s="175"/>
      <c r="X27" s="175"/>
      <c r="Y27" s="175"/>
      <c r="Z27" s="175"/>
    </row>
    <row r="28" spans="1:26">
      <c r="C28" s="172"/>
      <c r="D28" s="172"/>
      <c r="E28" s="172"/>
      <c r="F28" s="164" t="s">
        <v>164</v>
      </c>
      <c r="G28" s="175">
        <f t="shared" ref="G28:R28" si="7">+G18</f>
        <v>93.780000000000143</v>
      </c>
      <c r="H28" s="175">
        <f t="shared" si="7"/>
        <v>74.239999999999924</v>
      </c>
      <c r="I28" s="175">
        <f t="shared" si="7"/>
        <v>91.599999999999952</v>
      </c>
      <c r="J28" s="175">
        <f t="shared" si="7"/>
        <v>76.559999999999874</v>
      </c>
      <c r="K28" s="175">
        <f t="shared" si="7"/>
        <v>68.210000000000051</v>
      </c>
      <c r="L28" s="175">
        <f t="shared" si="7"/>
        <v>84.080000000000027</v>
      </c>
      <c r="M28" s="175">
        <f t="shared" si="7"/>
        <v>74.949999999999903</v>
      </c>
      <c r="N28" s="175">
        <f t="shared" si="7"/>
        <v>87.969999999999828</v>
      </c>
      <c r="O28" s="175">
        <f t="shared" si="7"/>
        <v>89.169999999999902</v>
      </c>
      <c r="P28" s="175">
        <f t="shared" si="7"/>
        <v>81.459999999999823</v>
      </c>
      <c r="Q28" s="175">
        <f t="shared" si="7"/>
        <v>92.950000000000173</v>
      </c>
      <c r="R28" s="175">
        <f t="shared" si="7"/>
        <v>80.989999999999895</v>
      </c>
      <c r="S28" s="175"/>
      <c r="T28" s="176">
        <f>SUM(G28:S28)</f>
        <v>995.95999999999935</v>
      </c>
      <c r="U28" s="175"/>
      <c r="V28" s="175"/>
      <c r="W28" s="175"/>
      <c r="X28" s="175"/>
      <c r="Y28" s="175"/>
      <c r="Z28" s="175"/>
    </row>
    <row r="29" spans="1:26">
      <c r="C29" s="172"/>
      <c r="D29" s="172"/>
      <c r="E29" s="172"/>
      <c r="F29" s="164" t="s">
        <v>165</v>
      </c>
      <c r="G29" s="175">
        <f>+G30-G28</f>
        <v>3671.8699999999994</v>
      </c>
      <c r="H29" s="175">
        <f t="shared" ref="H29:R29" si="8">+H30-H28</f>
        <v>3675.6599999999994</v>
      </c>
      <c r="I29" s="175">
        <f t="shared" si="8"/>
        <v>3438.4400000000005</v>
      </c>
      <c r="J29" s="175">
        <f t="shared" si="8"/>
        <v>1881.9399999999998</v>
      </c>
      <c r="K29" s="175">
        <f t="shared" si="8"/>
        <v>2162.0899999999997</v>
      </c>
      <c r="L29" s="175">
        <f t="shared" si="8"/>
        <v>2801.94</v>
      </c>
      <c r="M29" s="175">
        <f t="shared" si="8"/>
        <v>3065.7000000000007</v>
      </c>
      <c r="N29" s="175">
        <f t="shared" si="8"/>
        <v>3085.9620000000004</v>
      </c>
      <c r="O29" s="175">
        <f t="shared" si="8"/>
        <v>3114.63</v>
      </c>
      <c r="P29" s="175">
        <f t="shared" si="8"/>
        <v>3456.8799999999987</v>
      </c>
      <c r="Q29" s="175">
        <f t="shared" si="8"/>
        <v>2975.5399999999995</v>
      </c>
      <c r="R29" s="175">
        <f t="shared" si="8"/>
        <v>2938.2799999999993</v>
      </c>
      <c r="S29" s="175"/>
      <c r="T29" s="176">
        <f>SUM(G29:S29)</f>
        <v>36268.931999999993</v>
      </c>
      <c r="U29" s="175"/>
      <c r="V29" s="175"/>
      <c r="W29" s="175"/>
      <c r="X29" s="175"/>
      <c r="Y29" s="175"/>
      <c r="Z29" s="175"/>
    </row>
    <row r="30" spans="1:26">
      <c r="A30" s="207" t="str">
        <f>+A18</f>
        <v>I</v>
      </c>
      <c r="C30" s="172"/>
      <c r="D30" s="172"/>
      <c r="E30" s="172"/>
      <c r="F30" s="186" t="str">
        <f>"Total "&amp;F17&amp;" Pass Thru Disp."</f>
        <v>Total Roll-off / Industrial Pass Thru Disp.</v>
      </c>
      <c r="G30" s="187">
        <v>3765.6499999999996</v>
      </c>
      <c r="H30" s="187">
        <v>3749.8999999999992</v>
      </c>
      <c r="I30" s="187">
        <v>3530.0400000000004</v>
      </c>
      <c r="J30" s="187">
        <v>1958.4999999999998</v>
      </c>
      <c r="K30" s="187">
        <v>2230.2999999999997</v>
      </c>
      <c r="L30" s="187">
        <v>2886.02</v>
      </c>
      <c r="M30" s="187">
        <v>3140.6500000000005</v>
      </c>
      <c r="N30" s="187">
        <v>3173.9320000000002</v>
      </c>
      <c r="O30" s="187">
        <v>3203.8</v>
      </c>
      <c r="P30" s="187">
        <v>3538.3399999999988</v>
      </c>
      <c r="Q30" s="187">
        <v>3068.49</v>
      </c>
      <c r="R30" s="187">
        <v>3019.2699999999991</v>
      </c>
      <c r="S30" s="187"/>
      <c r="T30" s="188">
        <f>SUM(G30:S30)</f>
        <v>37264.892</v>
      </c>
      <c r="U30" s="175"/>
      <c r="V30" s="175"/>
      <c r="W30" s="175"/>
      <c r="X30" s="175"/>
      <c r="Y30" s="175"/>
      <c r="Z30" s="175"/>
    </row>
    <row r="31" spans="1:26">
      <c r="C31" s="172"/>
      <c r="D31" s="172"/>
      <c r="E31" s="172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  <c r="U31" s="175"/>
      <c r="V31" s="175"/>
      <c r="W31" s="175"/>
      <c r="X31" s="175"/>
      <c r="Y31" s="175"/>
      <c r="Z31" s="175"/>
    </row>
    <row r="32" spans="1:26">
      <c r="C32" s="172"/>
      <c r="D32" s="172"/>
      <c r="E32" s="172"/>
      <c r="F32" s="165" t="s">
        <v>15</v>
      </c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6"/>
      <c r="U32" s="175"/>
      <c r="V32" s="208" t="s">
        <v>166</v>
      </c>
      <c r="W32" s="175"/>
      <c r="X32" s="175"/>
      <c r="Y32" s="175"/>
      <c r="Z32" s="175"/>
    </row>
    <row r="33" spans="1:26">
      <c r="C33" s="172"/>
      <c r="D33" s="209" t="s">
        <v>167</v>
      </c>
      <c r="E33" s="209"/>
      <c r="F33" s="164" t="s">
        <v>150</v>
      </c>
      <c r="G33" s="175">
        <v>244.39317542108975</v>
      </c>
      <c r="H33" s="175">
        <v>210.87162028847507</v>
      </c>
      <c r="I33" s="175">
        <v>215.35414579950691</v>
      </c>
      <c r="J33" s="175">
        <v>179.92649238604972</v>
      </c>
      <c r="K33" s="175">
        <v>182.67595435282627</v>
      </c>
      <c r="L33" s="175">
        <v>221.37211420111205</v>
      </c>
      <c r="M33" s="175">
        <v>220.16668968477882</v>
      </c>
      <c r="N33" s="175">
        <v>209.08758515818997</v>
      </c>
      <c r="O33" s="175">
        <v>217.85776431896167</v>
      </c>
      <c r="P33" s="175">
        <v>212.41110843305535</v>
      </c>
      <c r="Q33" s="175">
        <v>205.0627445489659</v>
      </c>
      <c r="R33" s="175">
        <v>226.97898153481736</v>
      </c>
      <c r="S33" s="175"/>
      <c r="T33" s="176">
        <f>SUM(G33:S33)</f>
        <v>2546.1583761278289</v>
      </c>
      <c r="U33" s="175"/>
      <c r="V33" s="210">
        <v>142.71007689079917</v>
      </c>
      <c r="W33" s="175"/>
      <c r="X33" s="175"/>
      <c r="Y33" s="175"/>
      <c r="Z33" s="175"/>
    </row>
    <row r="34" spans="1:26">
      <c r="D34" s="209" t="s">
        <v>168</v>
      </c>
      <c r="E34" s="209"/>
      <c r="F34" s="164" t="s">
        <v>155</v>
      </c>
      <c r="G34" s="175">
        <v>3249.3876764132947</v>
      </c>
      <c r="H34" s="175">
        <v>2934.6132226098921</v>
      </c>
      <c r="I34" s="175">
        <v>2775.7259801236119</v>
      </c>
      <c r="J34" s="175">
        <v>2250.818024231005</v>
      </c>
      <c r="K34" s="175">
        <v>2382.1785173436197</v>
      </c>
      <c r="L34" s="175">
        <v>2779.6709141279111</v>
      </c>
      <c r="M34" s="175">
        <v>2831.5338390519173</v>
      </c>
      <c r="N34" s="175">
        <v>2710.6634630110111</v>
      </c>
      <c r="O34" s="175">
        <v>2859.5077207931645</v>
      </c>
      <c r="P34" s="175">
        <v>2815.3785782242494</v>
      </c>
      <c r="Q34" s="175">
        <v>2734.6999679884839</v>
      </c>
      <c r="R34" s="175">
        <v>2786.0504812977165</v>
      </c>
      <c r="S34" s="175"/>
      <c r="T34" s="176">
        <f>SUM(G34:S34)</f>
        <v>33110.22838521588</v>
      </c>
      <c r="U34" s="175"/>
      <c r="V34" s="211">
        <v>129.5458914725601</v>
      </c>
      <c r="W34" s="175"/>
      <c r="X34" s="175"/>
      <c r="Y34" s="175"/>
      <c r="Z34" s="175"/>
    </row>
    <row r="35" spans="1:26" s="190" customFormat="1" outlineLevel="1">
      <c r="A35" s="212" t="s">
        <v>169</v>
      </c>
      <c r="B35" s="212" t="s">
        <v>147</v>
      </c>
      <c r="C35" s="186"/>
      <c r="D35" s="186"/>
      <c r="E35" s="186"/>
      <c r="F35" s="213" t="str">
        <f>"Total "&amp;F32&amp;" "&amp;B35</f>
        <v>Total Commercial MSW</v>
      </c>
      <c r="G35" s="214">
        <v>3365.1400000000003</v>
      </c>
      <c r="H35" s="214">
        <v>3069.17</v>
      </c>
      <c r="I35" s="214">
        <v>2905.45</v>
      </c>
      <c r="J35" s="214">
        <v>2334.96</v>
      </c>
      <c r="K35" s="214">
        <v>2469.65</v>
      </c>
      <c r="L35" s="214">
        <v>2908.44</v>
      </c>
      <c r="M35" s="214">
        <v>2954.6099999999997</v>
      </c>
      <c r="N35" s="214">
        <v>2825.5000000000005</v>
      </c>
      <c r="O35" s="214">
        <v>2933.3799999999997</v>
      </c>
      <c r="P35" s="214">
        <v>2928.56</v>
      </c>
      <c r="Q35" s="214">
        <v>2831.62</v>
      </c>
      <c r="R35" s="214">
        <v>2915.22</v>
      </c>
      <c r="S35" s="214"/>
      <c r="T35" s="215">
        <f>SUM(G35:R35)-SUM(T33:T34)</f>
        <v>-1214.6867613437062</v>
      </c>
      <c r="U35" s="189"/>
      <c r="V35" s="216"/>
      <c r="W35" s="175"/>
      <c r="X35" s="189"/>
      <c r="Y35" s="189"/>
      <c r="Z35" s="189"/>
    </row>
    <row r="36" spans="1:26">
      <c r="C36" s="172"/>
      <c r="D36" s="209" t="s">
        <v>167</v>
      </c>
      <c r="E36" s="209"/>
      <c r="F36" s="164" t="s">
        <v>157</v>
      </c>
      <c r="G36" s="175">
        <v>36.000192148141224</v>
      </c>
      <c r="H36" s="175">
        <v>30.112218407858716</v>
      </c>
      <c r="I36" s="175">
        <v>31.271693623860202</v>
      </c>
      <c r="J36" s="175">
        <v>29.112072747743849</v>
      </c>
      <c r="K36" s="175">
        <v>27.228494490008678</v>
      </c>
      <c r="L36" s="175">
        <v>37.053285166456668</v>
      </c>
      <c r="M36" s="175">
        <v>37.677265328161894</v>
      </c>
      <c r="N36" s="175">
        <v>33.537772488022654</v>
      </c>
      <c r="O36" s="175">
        <v>35.025443969673383</v>
      </c>
      <c r="P36" s="175">
        <v>33.549162064992807</v>
      </c>
      <c r="Q36" s="175">
        <v>34.273166804777674</v>
      </c>
      <c r="R36" s="175">
        <v>39.992812146637938</v>
      </c>
      <c r="S36" s="175"/>
      <c r="T36" s="176">
        <f>SUM(G36:S36)</f>
        <v>404.83357938633577</v>
      </c>
      <c r="U36" s="175"/>
      <c r="V36" s="210" t="e">
        <v>#DIV/0!</v>
      </c>
      <c r="W36" s="175"/>
      <c r="X36" s="175"/>
      <c r="Y36" s="175"/>
      <c r="Z36" s="175"/>
    </row>
    <row r="37" spans="1:26">
      <c r="D37" s="209" t="s">
        <v>168</v>
      </c>
      <c r="E37" s="209"/>
      <c r="F37" s="164" t="s">
        <v>159</v>
      </c>
      <c r="G37" s="175">
        <v>402.38909674007351</v>
      </c>
      <c r="H37" s="175">
        <v>345.47404289172266</v>
      </c>
      <c r="I37" s="175">
        <v>340.85583733446634</v>
      </c>
      <c r="J37" s="175">
        <v>278.58499127679835</v>
      </c>
      <c r="K37" s="175">
        <v>286.53591743898147</v>
      </c>
      <c r="L37" s="175">
        <v>338.55528517459049</v>
      </c>
      <c r="M37" s="175">
        <v>331.78801854601045</v>
      </c>
      <c r="N37" s="175">
        <v>317.22887415207305</v>
      </c>
      <c r="O37" s="175">
        <v>358.7635862080752</v>
      </c>
      <c r="P37" s="175">
        <v>384.61818758237285</v>
      </c>
      <c r="Q37" s="175">
        <v>381.0626519668204</v>
      </c>
      <c r="R37" s="175">
        <v>430.81696084517796</v>
      </c>
      <c r="S37" s="175"/>
      <c r="T37" s="176">
        <f>SUM(G37:S37)</f>
        <v>4196.6734501571618</v>
      </c>
      <c r="U37" s="175"/>
      <c r="V37" s="211">
        <v>10.171065695281648</v>
      </c>
      <c r="W37" s="175"/>
      <c r="X37" s="175"/>
      <c r="Y37" s="175"/>
      <c r="Z37" s="175"/>
    </row>
    <row r="38" spans="1:26" s="190" customFormat="1" outlineLevel="1">
      <c r="A38" s="184" t="str">
        <f>+A35</f>
        <v>C</v>
      </c>
      <c r="B38" s="192" t="s">
        <v>156</v>
      </c>
      <c r="C38" s="193" t="s">
        <v>160</v>
      </c>
      <c r="D38" s="217"/>
      <c r="E38" s="186"/>
      <c r="F38" s="213" t="str">
        <f>"Total "&amp;F32&amp;" Recycling"</f>
        <v>Total Commercial Recycling</v>
      </c>
      <c r="G38" s="214">
        <v>1266.0099999999998</v>
      </c>
      <c r="H38" s="214">
        <v>1078.5200000000002</v>
      </c>
      <c r="I38" s="214">
        <v>994.63</v>
      </c>
      <c r="J38" s="214">
        <v>752.27999999999986</v>
      </c>
      <c r="K38" s="214">
        <v>797.88</v>
      </c>
      <c r="L38" s="214">
        <v>992.12</v>
      </c>
      <c r="M38" s="214">
        <v>978.31000000000006</v>
      </c>
      <c r="N38" s="214">
        <v>947.24999999999989</v>
      </c>
      <c r="O38" s="214">
        <v>1043.4100000000001</v>
      </c>
      <c r="P38" s="214">
        <v>1090.6100000000001</v>
      </c>
      <c r="Q38" s="214">
        <v>1053.27</v>
      </c>
      <c r="R38" s="214">
        <v>1083.57</v>
      </c>
      <c r="S38" s="214"/>
      <c r="T38" s="215">
        <f>SUM(G38:R38)-SUM(T36:T37)</f>
        <v>7476.3529704565026</v>
      </c>
      <c r="U38" s="189"/>
      <c r="V38" s="218"/>
      <c r="W38" s="175"/>
      <c r="X38" s="189"/>
      <c r="Y38" s="189"/>
      <c r="Z38" s="189"/>
    </row>
    <row r="39" spans="1:26" outlineLevel="1">
      <c r="A39" s="199"/>
      <c r="B39" s="199"/>
      <c r="C39" s="199"/>
      <c r="D39" s="199"/>
      <c r="E39" s="199"/>
      <c r="F39" s="219" t="str">
        <f>"Total "&amp;F32&amp;" per Disposal Report"</f>
        <v>Total Commercial per Disposal Report</v>
      </c>
      <c r="G39" s="220">
        <v>4631.1500000000005</v>
      </c>
      <c r="H39" s="220">
        <v>4147.6899999999996</v>
      </c>
      <c r="I39" s="220">
        <v>3900.0799999999995</v>
      </c>
      <c r="J39" s="220">
        <v>3087.2400000000002</v>
      </c>
      <c r="K39" s="220">
        <v>3267.53</v>
      </c>
      <c r="L39" s="220">
        <v>3900.5600000000004</v>
      </c>
      <c r="M39" s="220">
        <v>3932.9199999999996</v>
      </c>
      <c r="N39" s="220">
        <v>3772.7500000000014</v>
      </c>
      <c r="O39" s="220">
        <v>3976.7900000000004</v>
      </c>
      <c r="P39" s="220">
        <v>4019.17</v>
      </c>
      <c r="Q39" s="220">
        <v>3884.8899999999994</v>
      </c>
      <c r="R39" s="220">
        <v>3998.7900000000004</v>
      </c>
      <c r="S39" s="220"/>
      <c r="T39" s="221">
        <f>SUM(G39:S39)</f>
        <v>46519.56</v>
      </c>
      <c r="U39" s="175"/>
      <c r="V39" s="222"/>
      <c r="W39" s="175"/>
      <c r="X39" s="175"/>
      <c r="Y39" s="175"/>
      <c r="Z39" s="175"/>
    </row>
    <row r="40" spans="1:26">
      <c r="C40" s="172"/>
      <c r="D40" s="172"/>
      <c r="E40" s="172"/>
      <c r="F40" s="203" t="s">
        <v>163</v>
      </c>
      <c r="G40" s="204">
        <f t="shared" ref="G40:R40" si="9">+G39/SUM(G10:G11)-1</f>
        <v>-1.3477379566134706E-3</v>
      </c>
      <c r="H40" s="204">
        <f t="shared" si="9"/>
        <v>-3.5910710068032259E-4</v>
      </c>
      <c r="I40" s="204">
        <f t="shared" si="9"/>
        <v>2.4134536547502083E-3</v>
      </c>
      <c r="J40" s="204">
        <f t="shared" si="9"/>
        <v>9.0800337314429491E-3</v>
      </c>
      <c r="K40" s="204">
        <f t="shared" si="9"/>
        <v>7.9898075967954618E-3</v>
      </c>
      <c r="L40" s="204">
        <f t="shared" si="9"/>
        <v>1.1750180273185196E-2</v>
      </c>
      <c r="M40" s="204">
        <f t="shared" si="9"/>
        <v>-5.5144863268707933E-4</v>
      </c>
      <c r="N40" s="204">
        <f t="shared" si="9"/>
        <v>3.2281996803713575E-3</v>
      </c>
      <c r="O40" s="204">
        <f t="shared" si="9"/>
        <v>6.3618994597194334E-3</v>
      </c>
      <c r="P40" s="204">
        <f t="shared" si="9"/>
        <v>3.545594598711066E-3</v>
      </c>
      <c r="Q40" s="204">
        <f t="shared" si="9"/>
        <v>1.6449615960767439E-3</v>
      </c>
      <c r="R40" s="204">
        <f t="shared" si="9"/>
        <v>-1.7114752164230751E-2</v>
      </c>
      <c r="S40" s="175"/>
      <c r="T40" s="205">
        <f>+T39/SUM(T10:T11)-1</f>
        <v>1.8669963756279273E-3</v>
      </c>
      <c r="U40" s="175"/>
      <c r="V40" s="175"/>
      <c r="W40" s="175"/>
      <c r="X40" s="175"/>
      <c r="Y40" s="175"/>
      <c r="Z40" s="175"/>
    </row>
    <row r="41" spans="1:26">
      <c r="C41" s="172"/>
      <c r="D41" s="172"/>
      <c r="E41" s="172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206"/>
      <c r="U41" s="175"/>
      <c r="V41" s="175"/>
      <c r="W41" s="175"/>
      <c r="X41" s="175"/>
      <c r="Y41" s="175"/>
      <c r="Z41" s="175"/>
    </row>
    <row r="42" spans="1:26">
      <c r="C42" s="172"/>
      <c r="D42" s="172"/>
      <c r="E42" s="172"/>
      <c r="F42" s="165" t="s">
        <v>14</v>
      </c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6"/>
      <c r="U42" s="175"/>
      <c r="V42" s="208" t="s">
        <v>170</v>
      </c>
      <c r="W42" s="175"/>
      <c r="X42" s="175"/>
      <c r="Y42" s="175"/>
      <c r="Z42" s="175"/>
    </row>
    <row r="43" spans="1:26">
      <c r="C43" s="172"/>
      <c r="D43" s="209" t="s">
        <v>167</v>
      </c>
      <c r="E43" s="209"/>
      <c r="F43" s="164" t="s">
        <v>150</v>
      </c>
      <c r="G43" s="175">
        <v>616.05677221599899</v>
      </c>
      <c r="H43" s="175">
        <v>504.24787108564078</v>
      </c>
      <c r="I43" s="175">
        <v>585.05788427190987</v>
      </c>
      <c r="J43" s="175">
        <v>660.64220440007284</v>
      </c>
      <c r="K43" s="175">
        <v>602.93133226149826</v>
      </c>
      <c r="L43" s="175">
        <v>652.32130536483567</v>
      </c>
      <c r="M43" s="175">
        <v>681.38007262062615</v>
      </c>
      <c r="N43" s="175">
        <v>616.00488273529618</v>
      </c>
      <c r="O43" s="175">
        <v>649.28710037537974</v>
      </c>
      <c r="P43" s="175">
        <v>654.40889710397403</v>
      </c>
      <c r="Q43" s="175">
        <v>617.2362627192266</v>
      </c>
      <c r="R43" s="175">
        <v>695.70596380471466</v>
      </c>
      <c r="S43" s="175"/>
      <c r="T43" s="176">
        <f>SUM(G43:S43)</f>
        <v>7535.2805489591728</v>
      </c>
      <c r="U43" s="175"/>
      <c r="V43" s="223">
        <v>25.808353816991072</v>
      </c>
      <c r="W43" s="175"/>
      <c r="X43" s="175"/>
      <c r="Y43" s="175"/>
      <c r="Z43" s="175"/>
    </row>
    <row r="44" spans="1:26">
      <c r="D44" s="209" t="s">
        <v>168</v>
      </c>
      <c r="E44" s="209"/>
      <c r="F44" s="164" t="s">
        <v>155</v>
      </c>
      <c r="G44" s="175">
        <v>2545.0674115044767</v>
      </c>
      <c r="H44" s="175">
        <v>2112.6795444061909</v>
      </c>
      <c r="I44" s="175">
        <v>2502.6877017304391</v>
      </c>
      <c r="J44" s="175">
        <v>2640.194461313195</v>
      </c>
      <c r="K44" s="175">
        <v>2677.5173587448789</v>
      </c>
      <c r="L44" s="175">
        <v>2812.6002890454329</v>
      </c>
      <c r="M44" s="175">
        <v>2959.664384223202</v>
      </c>
      <c r="N44" s="175">
        <v>2730.5390611814382</v>
      </c>
      <c r="O44" s="175">
        <v>2862.5171126847658</v>
      </c>
      <c r="P44" s="175">
        <v>2791.8907739097826</v>
      </c>
      <c r="Q44" s="175">
        <v>2661.4734098026524</v>
      </c>
      <c r="R44" s="175">
        <v>2874.7996381704361</v>
      </c>
      <c r="S44" s="175"/>
      <c r="T44" s="176">
        <f>SUM(G44:S44)</f>
        <v>32171.631146716893</v>
      </c>
      <c r="U44" s="175"/>
      <c r="V44" s="211">
        <v>22.803276634742204</v>
      </c>
      <c r="W44" s="175"/>
      <c r="X44" s="175"/>
      <c r="Y44" s="175"/>
      <c r="Z44" s="175"/>
    </row>
    <row r="45" spans="1:26" s="190" customFormat="1" outlineLevel="1">
      <c r="A45" s="182" t="s">
        <v>167</v>
      </c>
      <c r="B45" s="182" t="s">
        <v>147</v>
      </c>
      <c r="C45" s="186"/>
      <c r="D45" s="217"/>
      <c r="E45" s="186"/>
      <c r="F45" s="213" t="str">
        <f>"Total "&amp;F42&amp;" "&amp;B45</f>
        <v>Total Residential MSW</v>
      </c>
      <c r="G45" s="214">
        <v>3250.76</v>
      </c>
      <c r="H45" s="214">
        <v>2696.35</v>
      </c>
      <c r="I45" s="214">
        <v>3183.31</v>
      </c>
      <c r="J45" s="214">
        <v>3400.6499999999996</v>
      </c>
      <c r="K45" s="214">
        <v>3380.63</v>
      </c>
      <c r="L45" s="214">
        <v>3573.6099999999997</v>
      </c>
      <c r="M45" s="214">
        <v>3744.5999999999995</v>
      </c>
      <c r="N45" s="214">
        <v>3448.4799999999996</v>
      </c>
      <c r="O45" s="214">
        <v>3571.08</v>
      </c>
      <c r="P45" s="214">
        <v>3521.6500000000005</v>
      </c>
      <c r="Q45" s="214">
        <v>3342.3500000000004</v>
      </c>
      <c r="R45" s="214">
        <v>3661.9799999999987</v>
      </c>
      <c r="S45" s="214"/>
      <c r="T45" s="215">
        <f>SUM(G45:R45)-SUM(T43:T44)</f>
        <v>1068.5383043239344</v>
      </c>
      <c r="U45" s="189"/>
      <c r="V45" s="216"/>
      <c r="W45" s="189"/>
      <c r="X45" s="189"/>
      <c r="Y45" s="189"/>
      <c r="Z45" s="189"/>
    </row>
    <row r="46" spans="1:26">
      <c r="C46" s="172"/>
      <c r="D46" s="209" t="s">
        <v>167</v>
      </c>
      <c r="E46" s="209"/>
      <c r="F46" s="164" t="s">
        <v>171</v>
      </c>
      <c r="G46" s="175">
        <v>268.75321588226205</v>
      </c>
      <c r="H46" s="175">
        <v>245.09927031302749</v>
      </c>
      <c r="I46" s="175">
        <v>434.02100667540691</v>
      </c>
      <c r="J46" s="175">
        <v>651.99795863513111</v>
      </c>
      <c r="K46" s="175">
        <v>657.47464340696104</v>
      </c>
      <c r="L46" s="175">
        <v>585.65239508018897</v>
      </c>
      <c r="M46" s="175">
        <v>607.76758296706612</v>
      </c>
      <c r="N46" s="175">
        <v>381.14641852692745</v>
      </c>
      <c r="O46" s="175">
        <v>408.80292265643516</v>
      </c>
      <c r="P46" s="175">
        <v>497.37350073315673</v>
      </c>
      <c r="Q46" s="175">
        <v>642.72941569165789</v>
      </c>
      <c r="R46" s="175">
        <v>462.02190994791977</v>
      </c>
      <c r="S46" s="175"/>
      <c r="T46" s="176">
        <f>SUM(G46:S46)</f>
        <v>5842.8402405161414</v>
      </c>
      <c r="U46" s="175"/>
      <c r="V46" s="210">
        <v>45.600573480283174</v>
      </c>
      <c r="W46" s="175"/>
      <c r="X46" s="175"/>
      <c r="Y46" s="175"/>
      <c r="Z46" s="175"/>
    </row>
    <row r="47" spans="1:26">
      <c r="D47" s="209" t="s">
        <v>168</v>
      </c>
      <c r="E47" s="209"/>
      <c r="F47" s="164" t="s">
        <v>172</v>
      </c>
      <c r="G47" s="175">
        <v>1902.8835204326788</v>
      </c>
      <c r="H47" s="175">
        <v>2143.8162938361756</v>
      </c>
      <c r="I47" s="175">
        <v>3253.1149740812671</v>
      </c>
      <c r="J47" s="175">
        <v>4302.8897517580162</v>
      </c>
      <c r="K47" s="175">
        <v>5208.0598716710947</v>
      </c>
      <c r="L47" s="175">
        <v>5107.0098007169054</v>
      </c>
      <c r="M47" s="175">
        <v>4198.8667082047559</v>
      </c>
      <c r="N47" s="175">
        <v>3012.6586764623607</v>
      </c>
      <c r="O47" s="175">
        <v>3048.3639305795782</v>
      </c>
      <c r="P47" s="175">
        <v>4150.3739319791157</v>
      </c>
      <c r="Q47" s="175">
        <v>5123.4618239652355</v>
      </c>
      <c r="R47" s="175">
        <v>3491.5145130255719</v>
      </c>
      <c r="S47" s="175"/>
      <c r="T47" s="176">
        <f>SUM(G47:S47)</f>
        <v>44943.013796712745</v>
      </c>
      <c r="U47" s="175"/>
      <c r="V47" s="211">
        <v>35.418897147088614</v>
      </c>
      <c r="W47" s="175"/>
      <c r="X47" s="175"/>
      <c r="Y47" s="175"/>
      <c r="Z47" s="175"/>
    </row>
    <row r="48" spans="1:26" s="190" customFormat="1" outlineLevel="1">
      <c r="A48" s="184" t="str">
        <f>+A45</f>
        <v>R</v>
      </c>
      <c r="B48" s="184" t="s">
        <v>160</v>
      </c>
      <c r="C48" s="186"/>
      <c r="D48" s="217"/>
      <c r="E48" s="186"/>
      <c r="F48" s="213" t="str">
        <f>"Total "&amp;F42&amp;" "&amp;B48</f>
        <v>Total Residential YW</v>
      </c>
      <c r="G48" s="214">
        <v>2221.96</v>
      </c>
      <c r="H48" s="214">
        <v>2435.79</v>
      </c>
      <c r="I48" s="214">
        <v>3750.3199999999997</v>
      </c>
      <c r="J48" s="214">
        <v>5046.7100000000009</v>
      </c>
      <c r="K48" s="214">
        <v>5966.6499999999987</v>
      </c>
      <c r="L48" s="214">
        <v>5805.64</v>
      </c>
      <c r="M48" s="214">
        <v>4891.2800000000007</v>
      </c>
      <c r="N48" s="214">
        <v>3480.62</v>
      </c>
      <c r="O48" s="214">
        <v>3523.8199999999997</v>
      </c>
      <c r="P48" s="214">
        <v>4752.1299999999983</v>
      </c>
      <c r="Q48" s="214">
        <v>5834.5099999999993</v>
      </c>
      <c r="R48" s="214">
        <v>4026.1000000000008</v>
      </c>
      <c r="S48" s="214"/>
      <c r="T48" s="215">
        <f>SUM(G48:R48)-SUM(T46:T47)</f>
        <v>949.67596277111443</v>
      </c>
      <c r="U48" s="189"/>
      <c r="V48" s="216"/>
      <c r="W48" s="189"/>
      <c r="X48" s="189"/>
      <c r="Y48" s="189"/>
      <c r="Z48" s="189"/>
    </row>
    <row r="49" spans="1:26">
      <c r="C49" s="172"/>
      <c r="D49" s="209" t="s">
        <v>167</v>
      </c>
      <c r="E49" s="209"/>
      <c r="F49" s="164" t="s">
        <v>173</v>
      </c>
      <c r="G49" s="175">
        <v>376.69597473146791</v>
      </c>
      <c r="H49" s="175">
        <v>278.57106143850893</v>
      </c>
      <c r="I49" s="175">
        <v>279.27421958693327</v>
      </c>
      <c r="J49" s="175">
        <v>378.71465100198731</v>
      </c>
      <c r="K49" s="175">
        <v>351.92170048076224</v>
      </c>
      <c r="L49" s="175">
        <v>372.93851430027718</v>
      </c>
      <c r="M49" s="175">
        <v>348.80539119653588</v>
      </c>
      <c r="N49" s="175">
        <v>301.07225075174904</v>
      </c>
      <c r="O49" s="175">
        <v>349.9681934108151</v>
      </c>
      <c r="P49" s="175">
        <v>344.67904877118133</v>
      </c>
      <c r="Q49" s="175">
        <v>355.08045279850688</v>
      </c>
      <c r="R49" s="175">
        <v>451.21380823389103</v>
      </c>
      <c r="S49" s="175"/>
      <c r="T49" s="176">
        <f>SUM(G49:S49)</f>
        <v>4188.935266702616</v>
      </c>
      <c r="U49" s="175"/>
      <c r="V49" s="210">
        <v>22.041378166241689</v>
      </c>
      <c r="W49" s="175"/>
      <c r="X49" s="175"/>
      <c r="Y49" s="175"/>
      <c r="Z49" s="175"/>
    </row>
    <row r="50" spans="1:26">
      <c r="D50" s="209" t="s">
        <v>168</v>
      </c>
      <c r="E50" s="209"/>
      <c r="F50" s="164" t="s">
        <v>174</v>
      </c>
      <c r="G50" s="175">
        <v>1846.6659002343813</v>
      </c>
      <c r="H50" s="175">
        <v>1444.5128255389668</v>
      </c>
      <c r="I50" s="175">
        <v>1763.7507757206572</v>
      </c>
      <c r="J50" s="175">
        <v>1772.7130143472973</v>
      </c>
      <c r="K50" s="175">
        <v>1750.5075140658353</v>
      </c>
      <c r="L50" s="175">
        <v>1881.9802963973193</v>
      </c>
      <c r="M50" s="175">
        <v>1938.6495741458461</v>
      </c>
      <c r="N50" s="175">
        <v>1787.8869968975382</v>
      </c>
      <c r="O50" s="175">
        <v>1964.6135435374713</v>
      </c>
      <c r="P50" s="175">
        <v>1849.3810416324279</v>
      </c>
      <c r="Q50" s="175">
        <v>1828.558307522565</v>
      </c>
      <c r="R50" s="175">
        <v>2160.4540745823961</v>
      </c>
      <c r="S50" s="175"/>
      <c r="T50" s="176">
        <f>SUM(G50:S50)</f>
        <v>21989.673864622702</v>
      </c>
      <c r="U50" s="175"/>
      <c r="V50" s="211">
        <v>16.409375948014791</v>
      </c>
      <c r="W50" s="175"/>
      <c r="X50" s="175"/>
      <c r="Y50" s="175"/>
      <c r="Z50" s="175"/>
    </row>
    <row r="51" spans="1:26" s="190" customFormat="1" outlineLevel="1">
      <c r="A51" s="184" t="str">
        <f>+A48</f>
        <v>R</v>
      </c>
      <c r="B51" s="184" t="s">
        <v>156</v>
      </c>
      <c r="C51" s="186"/>
      <c r="D51" s="217"/>
      <c r="E51" s="186"/>
      <c r="F51" s="213" t="str">
        <f>"Total "&amp;F42&amp;" "&amp;B49</f>
        <v xml:space="preserve">Total Residential </v>
      </c>
      <c r="G51" s="214">
        <v>2274.12</v>
      </c>
      <c r="H51" s="214">
        <v>1760.57</v>
      </c>
      <c r="I51" s="214">
        <v>2066.9499999999998</v>
      </c>
      <c r="J51" s="214">
        <v>2180.86</v>
      </c>
      <c r="K51" s="214">
        <v>2106.83</v>
      </c>
      <c r="L51" s="214">
        <v>2264.9599999999996</v>
      </c>
      <c r="M51" s="214">
        <v>2320.4599999999996</v>
      </c>
      <c r="N51" s="214">
        <v>2102.56</v>
      </c>
      <c r="O51" s="214">
        <v>2351.3900000000003</v>
      </c>
      <c r="P51" s="214">
        <v>2231.75</v>
      </c>
      <c r="Q51" s="214">
        <v>2237.56</v>
      </c>
      <c r="R51" s="214">
        <v>2761.7199999999993</v>
      </c>
      <c r="S51" s="214"/>
      <c r="T51" s="215">
        <f>SUM(G51:R51)-SUM(T49:T50)</f>
        <v>481.12086867467588</v>
      </c>
      <c r="U51" s="189"/>
      <c r="V51" s="218"/>
      <c r="W51" s="189"/>
      <c r="X51" s="189"/>
      <c r="Y51" s="189"/>
      <c r="Z51" s="189"/>
    </row>
    <row r="52" spans="1:26" outlineLevel="1">
      <c r="A52" s="199"/>
      <c r="B52" s="199"/>
      <c r="C52" s="199"/>
      <c r="D52" s="199"/>
      <c r="E52" s="199"/>
      <c r="F52" s="219" t="str">
        <f>"Total "&amp;F42&amp;" per Disposal Report"</f>
        <v>Total Residential per Disposal Report</v>
      </c>
      <c r="G52" s="220">
        <v>7746.8399999999992</v>
      </c>
      <c r="H52" s="220">
        <v>6892.71</v>
      </c>
      <c r="I52" s="220">
        <v>9000.5799999999981</v>
      </c>
      <c r="J52" s="220">
        <v>10628.219999999998</v>
      </c>
      <c r="K52" s="220">
        <v>11454.110000000002</v>
      </c>
      <c r="L52" s="220">
        <v>11644.210000000001</v>
      </c>
      <c r="M52" s="220">
        <v>10956.34</v>
      </c>
      <c r="N52" s="220">
        <v>9031.6600000000017</v>
      </c>
      <c r="O52" s="220">
        <v>9446.2899999999991</v>
      </c>
      <c r="P52" s="220">
        <v>10505.529999999999</v>
      </c>
      <c r="Q52" s="220">
        <v>11414.42</v>
      </c>
      <c r="R52" s="220">
        <v>10449.800000000003</v>
      </c>
      <c r="S52" s="220"/>
      <c r="T52" s="221">
        <f>SUM(G52:S52)</f>
        <v>119170.70999999999</v>
      </c>
      <c r="U52" s="175"/>
      <c r="V52" s="222"/>
      <c r="W52" s="175"/>
      <c r="X52" s="175"/>
      <c r="Y52" s="175"/>
      <c r="Z52" s="175"/>
    </row>
    <row r="53" spans="1:26">
      <c r="C53" s="172"/>
      <c r="D53" s="172"/>
      <c r="E53" s="172"/>
      <c r="F53" s="164" t="str">
        <f>"Total "&amp;F42</f>
        <v>Total Residential</v>
      </c>
      <c r="G53" s="181">
        <f>SUM(G43:G44,G46:G47,G49:G50)</f>
        <v>7556.1227950012653</v>
      </c>
      <c r="H53" s="181">
        <f t="shared" ref="H53:R53" si="10">SUM(H43:H44,H46:H47,H49:H50)</f>
        <v>6728.9268666185108</v>
      </c>
      <c r="I53" s="181">
        <f t="shared" si="10"/>
        <v>8817.9065620666133</v>
      </c>
      <c r="J53" s="181">
        <f t="shared" si="10"/>
        <v>10407.152041455698</v>
      </c>
      <c r="K53" s="181">
        <f t="shared" si="10"/>
        <v>11248.41242063103</v>
      </c>
      <c r="L53" s="181">
        <f t="shared" si="10"/>
        <v>11412.502600904958</v>
      </c>
      <c r="M53" s="181">
        <f t="shared" si="10"/>
        <v>10735.133713358031</v>
      </c>
      <c r="N53" s="181">
        <f t="shared" si="10"/>
        <v>8829.3082865553097</v>
      </c>
      <c r="O53" s="181">
        <f t="shared" si="10"/>
        <v>9283.5528032444454</v>
      </c>
      <c r="P53" s="181">
        <f t="shared" si="10"/>
        <v>10288.107194129638</v>
      </c>
      <c r="Q53" s="181">
        <f t="shared" si="10"/>
        <v>11228.539672499843</v>
      </c>
      <c r="R53" s="181">
        <f t="shared" si="10"/>
        <v>10135.709907764929</v>
      </c>
      <c r="S53" s="181"/>
      <c r="T53" s="176">
        <f>SUM(T43:T44,T46:T47,T49:T50)</f>
        <v>116671.37486423027</v>
      </c>
      <c r="U53" s="175"/>
      <c r="V53" s="224">
        <v>25.199268826837272</v>
      </c>
      <c r="W53" s="175"/>
      <c r="X53" s="175"/>
      <c r="Y53" s="175"/>
      <c r="Z53" s="175"/>
    </row>
    <row r="54" spans="1:26">
      <c r="C54" s="172"/>
      <c r="D54" s="172"/>
      <c r="E54" s="172"/>
      <c r="F54" s="203" t="s">
        <v>163</v>
      </c>
      <c r="G54" s="204">
        <f t="shared" ref="G54:R54" si="11">+G53/SUM(G12:G14)-1</f>
        <v>-2.3188831361739326E-2</v>
      </c>
      <c r="H54" s="204">
        <f t="shared" si="11"/>
        <v>-2.3658387485379961E-2</v>
      </c>
      <c r="I54" s="204">
        <f t="shared" si="11"/>
        <v>-2.0557996613723484E-2</v>
      </c>
      <c r="J54" s="204">
        <f t="shared" si="11"/>
        <v>-2.2969591914273946E-2</v>
      </c>
      <c r="K54" s="204">
        <f t="shared" si="11"/>
        <v>-1.912818092523394E-2</v>
      </c>
      <c r="L54" s="204">
        <f t="shared" si="11"/>
        <v>-2.3355377820826639E-2</v>
      </c>
      <c r="M54" s="204">
        <f t="shared" si="11"/>
        <v>-2.0417787443980928E-2</v>
      </c>
      <c r="N54" s="204">
        <f t="shared" si="11"/>
        <v>-2.4115164918081189E-2</v>
      </c>
      <c r="O54" s="204">
        <f t="shared" si="11"/>
        <v>-1.8414309251981065E-2</v>
      </c>
      <c r="P54" s="204">
        <f t="shared" si="11"/>
        <v>-1.9935717852489265E-2</v>
      </c>
      <c r="Q54" s="204">
        <f t="shared" si="11"/>
        <v>-1.9305540246904895E-2</v>
      </c>
      <c r="R54" s="204">
        <f t="shared" si="11"/>
        <v>-2.5854621002302069E-2</v>
      </c>
      <c r="S54" s="175"/>
      <c r="T54" s="204">
        <f>+T53/SUM(T12:T14)-1</f>
        <v>-2.1633946275361748E-2</v>
      </c>
      <c r="U54" s="175"/>
      <c r="V54" s="175"/>
      <c r="W54" s="175"/>
      <c r="X54" s="175"/>
      <c r="Y54" s="175"/>
      <c r="Z54" s="175"/>
    </row>
    <row r="55" spans="1:26">
      <c r="C55" s="172"/>
      <c r="D55" s="172"/>
      <c r="E55" s="172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6"/>
      <c r="U55" s="175"/>
      <c r="V55" s="175"/>
      <c r="W55" s="175"/>
      <c r="X55" s="175"/>
      <c r="Y55" s="175"/>
      <c r="Z55" s="175"/>
    </row>
    <row r="56" spans="1:26">
      <c r="C56" s="172"/>
      <c r="D56" s="172"/>
      <c r="E56" s="172"/>
      <c r="F56" s="225" t="s">
        <v>175</v>
      </c>
      <c r="G56" s="175">
        <f t="shared" ref="G56:R56" si="12">SUM(G18:G19,G33:G34,G43:G44)</f>
        <v>8619.7250355548604</v>
      </c>
      <c r="H56" s="175">
        <f t="shared" si="12"/>
        <v>7660.4622583901992</v>
      </c>
      <c r="I56" s="175">
        <f t="shared" si="12"/>
        <v>7816.585711925467</v>
      </c>
      <c r="J56" s="175">
        <f t="shared" si="12"/>
        <v>7075.6311823303222</v>
      </c>
      <c r="K56" s="175">
        <f t="shared" si="12"/>
        <v>7236.423162702823</v>
      </c>
      <c r="L56" s="175">
        <f t="shared" si="12"/>
        <v>8023.1746227392923</v>
      </c>
      <c r="M56" s="175">
        <f t="shared" si="12"/>
        <v>8356.7549855805246</v>
      </c>
      <c r="N56" s="175">
        <f t="shared" si="12"/>
        <v>8028.9149920859363</v>
      </c>
      <c r="O56" s="175">
        <f t="shared" si="12"/>
        <v>8331.3996981722721</v>
      </c>
      <c r="P56" s="175">
        <f t="shared" si="12"/>
        <v>8215.5593576710598</v>
      </c>
      <c r="Q56" s="175">
        <f t="shared" si="12"/>
        <v>7827.8423850593299</v>
      </c>
      <c r="R56" s="175">
        <f t="shared" si="12"/>
        <v>8197.9850648076845</v>
      </c>
      <c r="S56" s="175"/>
      <c r="T56" s="176">
        <f>SUM(G56:S56)</f>
        <v>95390.458457019762</v>
      </c>
      <c r="U56" s="175"/>
      <c r="V56" s="175"/>
      <c r="W56" s="175"/>
      <c r="X56" s="175"/>
      <c r="Y56" s="175"/>
      <c r="Z56" s="175"/>
    </row>
    <row r="57" spans="1:26" outlineLevel="1">
      <c r="C57" s="172"/>
      <c r="D57" s="172"/>
      <c r="E57" s="172"/>
      <c r="F57" s="226" t="s">
        <v>163</v>
      </c>
      <c r="G57" s="204">
        <f t="shared" ref="G57:R57" si="13">+G56/SUM(G8,G10,G12)-1</f>
        <v>4.5456599859754476E-3</v>
      </c>
      <c r="H57" s="204">
        <f t="shared" si="13"/>
        <v>-9.2047253998706058E-4</v>
      </c>
      <c r="I57" s="204">
        <f t="shared" si="13"/>
        <v>-1.26931101875849E-3</v>
      </c>
      <c r="J57" s="204">
        <f t="shared" si="13"/>
        <v>2.1644906494411309E-4</v>
      </c>
      <c r="K57" s="204">
        <f t="shared" si="13"/>
        <v>3.1837496514053321E-4</v>
      </c>
      <c r="L57" s="204">
        <f t="shared" si="13"/>
        <v>-1.1261366422616881E-3</v>
      </c>
      <c r="M57" s="204">
        <f t="shared" si="13"/>
        <v>-8.6024120415306715E-4</v>
      </c>
      <c r="N57" s="204">
        <f t="shared" si="13"/>
        <v>1.1490444886885776E-3</v>
      </c>
      <c r="O57" s="204">
        <f t="shared" si="13"/>
        <v>1.0661683939519939E-2</v>
      </c>
      <c r="P57" s="204">
        <f t="shared" si="13"/>
        <v>2.1736914894909809E-3</v>
      </c>
      <c r="Q57" s="204">
        <f t="shared" si="13"/>
        <v>4.8952252470670921E-3</v>
      </c>
      <c r="R57" s="204">
        <f t="shared" si="13"/>
        <v>1.8704220142646832E-3</v>
      </c>
      <c r="S57" s="204"/>
      <c r="T57" s="204">
        <f>+T56/SUM(T8,T10,T12)-1</f>
        <v>1.8691713347667172E-3</v>
      </c>
      <c r="U57" s="175"/>
      <c r="V57" s="175"/>
      <c r="W57" s="175"/>
      <c r="X57" s="175"/>
      <c r="Y57" s="175"/>
      <c r="Z57" s="175"/>
    </row>
    <row r="58" spans="1:26">
      <c r="C58" s="172"/>
      <c r="D58" s="172"/>
      <c r="E58" s="172"/>
      <c r="F58" s="225" t="s">
        <v>176</v>
      </c>
      <c r="G58" s="175">
        <f>SUM(G21:G22,G36:G37,G49:G50)</f>
        <v>4876.4611638540637</v>
      </c>
      <c r="H58" s="175">
        <f t="shared" ref="H58:R58" si="14">SUM(H21:H22,H36:H37,H49:H50)</f>
        <v>4437.1931482770578</v>
      </c>
      <c r="I58" s="175">
        <f t="shared" si="14"/>
        <v>4678.0125262659167</v>
      </c>
      <c r="J58" s="175">
        <f t="shared" si="14"/>
        <v>3553.0547293738273</v>
      </c>
      <c r="K58" s="175">
        <f t="shared" si="14"/>
        <v>3865.7636264755874</v>
      </c>
      <c r="L58" s="175">
        <f t="shared" si="14"/>
        <v>4462.1273810386438</v>
      </c>
      <c r="M58" s="175">
        <f t="shared" si="14"/>
        <v>4715.9802492165545</v>
      </c>
      <c r="N58" s="175">
        <f t="shared" si="14"/>
        <v>4412.7278942893827</v>
      </c>
      <c r="O58" s="175">
        <f t="shared" si="14"/>
        <v>4725.1007671260359</v>
      </c>
      <c r="P58" s="175">
        <f t="shared" si="14"/>
        <v>4869.6574400509744</v>
      </c>
      <c r="Q58" s="175">
        <f t="shared" si="14"/>
        <v>4520.7145790926706</v>
      </c>
      <c r="R58" s="175">
        <f t="shared" si="14"/>
        <v>4852.9576558081026</v>
      </c>
      <c r="S58" s="175"/>
      <c r="T58" s="176">
        <f>SUM(G58:S58)</f>
        <v>53969.751160868822</v>
      </c>
      <c r="U58" s="175"/>
      <c r="V58" s="175"/>
      <c r="W58" s="175"/>
      <c r="X58" s="175"/>
      <c r="Y58" s="175"/>
      <c r="Z58" s="175"/>
    </row>
    <row r="59" spans="1:26">
      <c r="C59" s="172"/>
      <c r="D59" s="172"/>
      <c r="E59" s="172"/>
      <c r="F59" s="225" t="s">
        <v>177</v>
      </c>
      <c r="G59" s="175">
        <f>SUM(G46:G47)</f>
        <v>2171.6367363149407</v>
      </c>
      <c r="H59" s="175">
        <f t="shared" ref="H59:R59" si="15">SUM(H46:H47)</f>
        <v>2388.915564149203</v>
      </c>
      <c r="I59" s="175">
        <f t="shared" si="15"/>
        <v>3687.1359807566741</v>
      </c>
      <c r="J59" s="175">
        <f t="shared" si="15"/>
        <v>4954.8877103931472</v>
      </c>
      <c r="K59" s="175">
        <f t="shared" si="15"/>
        <v>5865.5345150780558</v>
      </c>
      <c r="L59" s="175">
        <f t="shared" si="15"/>
        <v>5692.6621957970947</v>
      </c>
      <c r="M59" s="175">
        <f t="shared" si="15"/>
        <v>4806.634291171822</v>
      </c>
      <c r="N59" s="175">
        <f t="shared" si="15"/>
        <v>3393.8050949892881</v>
      </c>
      <c r="O59" s="175">
        <f t="shared" si="15"/>
        <v>3457.1668532360136</v>
      </c>
      <c r="P59" s="175">
        <f t="shared" si="15"/>
        <v>4647.7474327122727</v>
      </c>
      <c r="Q59" s="175">
        <f t="shared" si="15"/>
        <v>5766.1912396568932</v>
      </c>
      <c r="R59" s="175">
        <f t="shared" si="15"/>
        <v>3953.5364229734914</v>
      </c>
      <c r="S59" s="175"/>
      <c r="T59" s="176">
        <f>SUM(G59:S59)</f>
        <v>50785.854037228892</v>
      </c>
      <c r="U59" s="175"/>
      <c r="V59" s="227"/>
      <c r="W59" s="175"/>
      <c r="X59" s="175"/>
      <c r="Y59" s="175"/>
      <c r="Z59" s="175"/>
    </row>
    <row r="60" spans="1:26" outlineLevel="1">
      <c r="C60" s="172"/>
      <c r="D60" s="172"/>
      <c r="E60" s="172"/>
      <c r="F60" s="226" t="s">
        <v>163</v>
      </c>
      <c r="G60" s="204">
        <f t="shared" ref="G60:R60" si="16">SUM(G58:G59)/SUM(G9,G11,G13:G14)-1</f>
        <v>-0.10989309517886447</v>
      </c>
      <c r="H60" s="204">
        <f t="shared" si="16"/>
        <v>-9.4860609636509774E-2</v>
      </c>
      <c r="I60" s="204">
        <f t="shared" si="16"/>
        <v>-7.6275384636673937E-2</v>
      </c>
      <c r="J60" s="204">
        <f t="shared" si="16"/>
        <v>-5.7286473635092205E-2</v>
      </c>
      <c r="K60" s="204">
        <f t="shared" si="16"/>
        <v>-4.8105058206172391E-2</v>
      </c>
      <c r="L60" s="204">
        <f t="shared" si="16"/>
        <v>-6.6158408120154166E-2</v>
      </c>
      <c r="M60" s="204">
        <f t="shared" si="16"/>
        <v>-6.6069729314183423E-2</v>
      </c>
      <c r="N60" s="204">
        <f t="shared" si="16"/>
        <v>-7.1861833931124219E-2</v>
      </c>
      <c r="O60" s="204">
        <f t="shared" si="16"/>
        <v>-6.9597386001884254E-2</v>
      </c>
      <c r="P60" s="204">
        <f t="shared" si="16"/>
        <v>-6.5788130039739712E-2</v>
      </c>
      <c r="Q60" s="204">
        <f t="shared" si="16"/>
        <v>-6.3183908986799042E-2</v>
      </c>
      <c r="R60" s="204">
        <f t="shared" si="16"/>
        <v>-8.0290530972231156E-2</v>
      </c>
      <c r="S60" s="204"/>
      <c r="T60" s="204">
        <f>SUM(T58:T59)/SUM(T9,T11,T13:T14)-1</f>
        <v>-7.1176397899173738E-2</v>
      </c>
      <c r="U60" s="175"/>
      <c r="V60" s="175"/>
      <c r="W60" s="175"/>
      <c r="X60" s="175"/>
      <c r="Y60" s="175"/>
      <c r="Z60" s="175"/>
    </row>
    <row r="61" spans="1:26">
      <c r="C61" s="172"/>
      <c r="D61" s="172"/>
      <c r="E61" s="172"/>
      <c r="F61" s="228" t="s">
        <v>178</v>
      </c>
      <c r="G61" s="201">
        <f>+G56+G58+G59</f>
        <v>15667.822935723863</v>
      </c>
      <c r="H61" s="201">
        <f t="shared" ref="H61:R61" si="17">+H56+H58+H59</f>
        <v>14486.570970816461</v>
      </c>
      <c r="I61" s="201">
        <f t="shared" si="17"/>
        <v>16181.734218948059</v>
      </c>
      <c r="J61" s="201">
        <f t="shared" si="17"/>
        <v>15583.573622097298</v>
      </c>
      <c r="K61" s="201">
        <f t="shared" si="17"/>
        <v>16967.721304256465</v>
      </c>
      <c r="L61" s="201">
        <f t="shared" si="17"/>
        <v>18177.964199575028</v>
      </c>
      <c r="M61" s="201">
        <f t="shared" si="17"/>
        <v>17879.369525968901</v>
      </c>
      <c r="N61" s="201">
        <f t="shared" si="17"/>
        <v>15835.447981364607</v>
      </c>
      <c r="O61" s="201">
        <f t="shared" si="17"/>
        <v>16513.667318534321</v>
      </c>
      <c r="P61" s="201">
        <f t="shared" si="17"/>
        <v>17732.964230434307</v>
      </c>
      <c r="Q61" s="201">
        <f t="shared" si="17"/>
        <v>18114.748203808893</v>
      </c>
      <c r="R61" s="201">
        <f t="shared" si="17"/>
        <v>17004.479143589277</v>
      </c>
      <c r="S61" s="201"/>
      <c r="T61" s="202">
        <f>SUM(G61:S61)</f>
        <v>200146.06365511747</v>
      </c>
      <c r="U61" s="175"/>
      <c r="V61" s="175"/>
      <c r="W61" s="175"/>
      <c r="X61" s="175"/>
      <c r="Y61" s="175"/>
      <c r="Z61" s="175"/>
    </row>
    <row r="62" spans="1:26">
      <c r="C62" s="172"/>
      <c r="D62" s="172"/>
      <c r="E62" s="172"/>
      <c r="F62" s="226" t="s">
        <v>163</v>
      </c>
      <c r="G62" s="204">
        <f t="shared" ref="G62:R62" si="18">+G61/G15-1</f>
        <v>-5.0376269580067135E-2</v>
      </c>
      <c r="H62" s="204">
        <f t="shared" si="18"/>
        <v>-4.7501353090701359E-2</v>
      </c>
      <c r="I62" s="204">
        <f t="shared" si="18"/>
        <v>-4.1503303204456055E-2</v>
      </c>
      <c r="J62" s="204">
        <f t="shared" si="18"/>
        <v>-3.2019055652519945E-2</v>
      </c>
      <c r="K62" s="204">
        <f t="shared" si="18"/>
        <v>-2.8038786044929043E-2</v>
      </c>
      <c r="L62" s="204">
        <f t="shared" si="18"/>
        <v>-3.8530055670212282E-2</v>
      </c>
      <c r="M62" s="204">
        <f t="shared" si="18"/>
        <v>-3.6683838186870488E-2</v>
      </c>
      <c r="N62" s="204">
        <f t="shared" si="18"/>
        <v>-3.6225691398604432E-2</v>
      </c>
      <c r="O62" s="204">
        <f t="shared" si="18"/>
        <v>-3.0765207412775331E-2</v>
      </c>
      <c r="P62" s="204">
        <f t="shared" si="18"/>
        <v>-3.5485049774124366E-2</v>
      </c>
      <c r="Q62" s="204">
        <f t="shared" si="18"/>
        <v>-3.4931120144946481E-2</v>
      </c>
      <c r="R62" s="204">
        <f t="shared" si="18"/>
        <v>-4.2431676148454001E-2</v>
      </c>
      <c r="S62" s="175"/>
      <c r="T62" s="204">
        <f>+T61/T15-1</f>
        <v>-3.773890756473508E-2</v>
      </c>
      <c r="U62" s="175"/>
      <c r="V62" s="175"/>
      <c r="W62" s="175"/>
      <c r="X62" s="175"/>
      <c r="Y62" s="175"/>
      <c r="Z62" s="175"/>
    </row>
    <row r="63" spans="1:26">
      <c r="C63" s="172"/>
      <c r="D63" s="172"/>
      <c r="E63" s="172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206"/>
      <c r="U63" s="175"/>
      <c r="V63" s="175"/>
      <c r="W63" s="175"/>
      <c r="X63" s="175"/>
      <c r="Y63" s="175"/>
      <c r="Z63" s="175"/>
    </row>
    <row r="64" spans="1:26" ht="15.75" thickBot="1">
      <c r="C64" s="172"/>
      <c r="D64" s="172"/>
      <c r="E64" s="172"/>
      <c r="F64" s="173" t="s">
        <v>179</v>
      </c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3"/>
    </row>
    <row r="65" spans="3:26">
      <c r="C65" s="172"/>
      <c r="D65" s="172"/>
      <c r="E65" s="172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206"/>
      <c r="U65" s="175"/>
      <c r="V65" s="175"/>
      <c r="W65" s="175"/>
      <c r="X65" s="175"/>
      <c r="Y65" s="175"/>
      <c r="Z65" s="175"/>
    </row>
    <row r="66" spans="3:26">
      <c r="C66" s="172"/>
      <c r="D66" s="172"/>
      <c r="E66" s="172"/>
      <c r="F66" s="165" t="str">
        <f>+F17</f>
        <v>Roll-off / Industrial</v>
      </c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206"/>
      <c r="U66" s="175"/>
      <c r="V66" s="175"/>
      <c r="W66" s="175"/>
      <c r="X66" s="175"/>
      <c r="Y66" s="175"/>
      <c r="Z66" s="175"/>
    </row>
    <row r="67" spans="3:26">
      <c r="C67" s="172"/>
      <c r="D67" s="172"/>
      <c r="E67" s="172"/>
      <c r="F67" s="164" t="str">
        <f>+F18</f>
        <v>Regulated Garbage</v>
      </c>
      <c r="G67" s="229">
        <v>140.82</v>
      </c>
      <c r="H67" s="230">
        <f>+G67</f>
        <v>140.82</v>
      </c>
      <c r="I67" s="230">
        <f t="shared" ref="I67:R67" si="19">+H67</f>
        <v>140.82</v>
      </c>
      <c r="J67" s="230">
        <f t="shared" si="19"/>
        <v>140.82</v>
      </c>
      <c r="K67" s="230">
        <f t="shared" si="19"/>
        <v>140.82</v>
      </c>
      <c r="L67" s="230">
        <f t="shared" si="19"/>
        <v>140.82</v>
      </c>
      <c r="M67" s="230">
        <f t="shared" si="19"/>
        <v>140.82</v>
      </c>
      <c r="N67" s="230">
        <f t="shared" si="19"/>
        <v>140.82</v>
      </c>
      <c r="O67" s="230">
        <f t="shared" si="19"/>
        <v>140.82</v>
      </c>
      <c r="P67" s="230">
        <f t="shared" si="19"/>
        <v>140.82</v>
      </c>
      <c r="Q67" s="230">
        <f t="shared" si="19"/>
        <v>140.82</v>
      </c>
      <c r="R67" s="230">
        <f t="shared" si="19"/>
        <v>140.82</v>
      </c>
      <c r="S67" s="230"/>
      <c r="T67" s="231"/>
      <c r="U67" s="175"/>
      <c r="V67" s="175"/>
      <c r="W67" s="175"/>
      <c r="X67" s="175"/>
      <c r="Y67" s="175"/>
      <c r="Z67" s="175"/>
    </row>
    <row r="68" spans="3:26">
      <c r="C68" s="172"/>
      <c r="D68" s="172"/>
      <c r="E68" s="172"/>
      <c r="F68" s="164" t="str">
        <f>+F19</f>
        <v>Unregulated Garbage</v>
      </c>
      <c r="G68" s="230">
        <f>+G67</f>
        <v>140.82</v>
      </c>
      <c r="H68" s="230">
        <f t="shared" ref="H68:R68" si="20">+H67</f>
        <v>140.82</v>
      </c>
      <c r="I68" s="230">
        <f t="shared" si="20"/>
        <v>140.82</v>
      </c>
      <c r="J68" s="230">
        <f t="shared" si="20"/>
        <v>140.82</v>
      </c>
      <c r="K68" s="230">
        <f t="shared" si="20"/>
        <v>140.82</v>
      </c>
      <c r="L68" s="230">
        <f t="shared" si="20"/>
        <v>140.82</v>
      </c>
      <c r="M68" s="230">
        <f t="shared" si="20"/>
        <v>140.82</v>
      </c>
      <c r="N68" s="230">
        <f t="shared" si="20"/>
        <v>140.82</v>
      </c>
      <c r="O68" s="230">
        <f t="shared" si="20"/>
        <v>140.82</v>
      </c>
      <c r="P68" s="230">
        <f t="shared" si="20"/>
        <v>140.82</v>
      </c>
      <c r="Q68" s="230">
        <f t="shared" si="20"/>
        <v>140.82</v>
      </c>
      <c r="R68" s="230">
        <f t="shared" si="20"/>
        <v>140.82</v>
      </c>
      <c r="S68" s="230"/>
      <c r="T68" s="231"/>
      <c r="U68" s="175"/>
      <c r="V68" s="175"/>
      <c r="W68" s="175"/>
      <c r="X68" s="175"/>
      <c r="Y68" s="175"/>
      <c r="Z68" s="175"/>
    </row>
    <row r="69" spans="3:26">
      <c r="C69" s="172"/>
      <c r="D69" s="172"/>
      <c r="E69" s="172"/>
      <c r="F69" s="164" t="str">
        <f>+F21</f>
        <v>Regulated RCY (MF)</v>
      </c>
      <c r="G69" s="230">
        <v>116.77</v>
      </c>
      <c r="H69" s="230">
        <v>116.77000000000001</v>
      </c>
      <c r="I69" s="230">
        <v>116.77</v>
      </c>
      <c r="J69" s="230">
        <v>116.77</v>
      </c>
      <c r="K69" s="230">
        <v>116.77000000000001</v>
      </c>
      <c r="L69" s="230">
        <v>116.77</v>
      </c>
      <c r="M69" s="230">
        <v>116.77</v>
      </c>
      <c r="N69" s="230">
        <v>116.77</v>
      </c>
      <c r="O69" s="230">
        <v>116.77000000000001</v>
      </c>
      <c r="P69" s="230">
        <v>116.77000000000001</v>
      </c>
      <c r="Q69" s="230">
        <v>116.77000000000001</v>
      </c>
      <c r="R69" s="230">
        <v>116.77</v>
      </c>
      <c r="S69" s="230"/>
      <c r="T69" s="231"/>
      <c r="U69" s="175"/>
      <c r="V69" s="175"/>
      <c r="W69" s="175"/>
      <c r="X69" s="175"/>
      <c r="Y69" s="175"/>
      <c r="Z69" s="175"/>
    </row>
    <row r="70" spans="3:26">
      <c r="C70" s="172"/>
      <c r="D70" s="172"/>
      <c r="E70" s="172"/>
      <c r="F70" s="164" t="str">
        <f>+F22</f>
        <v>Unregulated RCY / COGS</v>
      </c>
      <c r="G70" s="230">
        <f t="shared" ref="G70:R70" si="21">+G101/G22</f>
        <v>79.340281427520338</v>
      </c>
      <c r="H70" s="230">
        <f t="shared" si="21"/>
        <v>82.618089860346387</v>
      </c>
      <c r="I70" s="230">
        <f t="shared" si="21"/>
        <v>81.648500889679752</v>
      </c>
      <c r="J70" s="230">
        <f t="shared" si="21"/>
        <v>77.930024319111467</v>
      </c>
      <c r="K70" s="230">
        <f t="shared" si="21"/>
        <v>82.549870362775692</v>
      </c>
      <c r="L70" s="230">
        <f t="shared" si="21"/>
        <v>80.793516925157675</v>
      </c>
      <c r="M70" s="230">
        <f t="shared" si="21"/>
        <v>78.571965152323912</v>
      </c>
      <c r="N70" s="230">
        <f t="shared" si="21"/>
        <v>81.425928916123141</v>
      </c>
      <c r="O70" s="230">
        <f t="shared" si="21"/>
        <v>82.187398221220079</v>
      </c>
      <c r="P70" s="230">
        <f t="shared" si="21"/>
        <v>81.298337922895371</v>
      </c>
      <c r="Q70" s="230">
        <f t="shared" si="21"/>
        <v>78.065701658269575</v>
      </c>
      <c r="R70" s="230">
        <f t="shared" si="21"/>
        <v>76.608445363470238</v>
      </c>
      <c r="S70" s="230"/>
      <c r="T70" s="231"/>
      <c r="U70" s="175"/>
      <c r="V70" s="175"/>
      <c r="W70" s="175"/>
      <c r="X70" s="175"/>
      <c r="Y70" s="175"/>
      <c r="Z70" s="175"/>
    </row>
    <row r="71" spans="3:26">
      <c r="C71" s="172"/>
      <c r="D71" s="172"/>
      <c r="E71" s="172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206"/>
      <c r="U71" s="175"/>
      <c r="V71" s="175"/>
      <c r="W71" s="175"/>
      <c r="X71" s="175"/>
      <c r="Y71" s="175"/>
      <c r="Z71" s="175"/>
    </row>
    <row r="72" spans="3:26">
      <c r="C72" s="172"/>
      <c r="D72" s="172"/>
      <c r="E72" s="172"/>
      <c r="F72" s="164" t="s">
        <v>180</v>
      </c>
      <c r="G72" s="230">
        <f t="shared" ref="G72:R73" si="22">+G104/G28</f>
        <v>140.82</v>
      </c>
      <c r="H72" s="230">
        <f t="shared" si="22"/>
        <v>140.82</v>
      </c>
      <c r="I72" s="230">
        <f t="shared" si="22"/>
        <v>140.82</v>
      </c>
      <c r="J72" s="230">
        <f t="shared" si="22"/>
        <v>140.82</v>
      </c>
      <c r="K72" s="230">
        <f t="shared" si="22"/>
        <v>140.82</v>
      </c>
      <c r="L72" s="230">
        <f t="shared" si="22"/>
        <v>140.82</v>
      </c>
      <c r="M72" s="230">
        <f t="shared" si="22"/>
        <v>140.82</v>
      </c>
      <c r="N72" s="230">
        <f t="shared" si="22"/>
        <v>140.82</v>
      </c>
      <c r="O72" s="230">
        <f t="shared" si="22"/>
        <v>140.82</v>
      </c>
      <c r="P72" s="230">
        <f t="shared" si="22"/>
        <v>140.82</v>
      </c>
      <c r="Q72" s="230">
        <f t="shared" si="22"/>
        <v>140.82</v>
      </c>
      <c r="R72" s="230">
        <f t="shared" si="22"/>
        <v>140.82</v>
      </c>
      <c r="S72" s="175"/>
      <c r="T72" s="206"/>
      <c r="U72" s="175"/>
      <c r="V72" s="175"/>
      <c r="W72" s="175"/>
      <c r="X72" s="175"/>
      <c r="Y72" s="175"/>
      <c r="Z72" s="175"/>
    </row>
    <row r="73" spans="3:26">
      <c r="C73" s="172"/>
      <c r="D73" s="172"/>
      <c r="E73" s="172"/>
      <c r="F73" s="164" t="s">
        <v>181</v>
      </c>
      <c r="G73" s="230">
        <f t="shared" si="22"/>
        <v>111.78533019959859</v>
      </c>
      <c r="H73" s="230">
        <f t="shared" si="22"/>
        <v>112.52319670480948</v>
      </c>
      <c r="I73" s="230">
        <f t="shared" si="22"/>
        <v>107.301144705157</v>
      </c>
      <c r="J73" s="230">
        <f t="shared" si="22"/>
        <v>110.07058184639256</v>
      </c>
      <c r="K73" s="230">
        <f t="shared" si="22"/>
        <v>112.68401768659029</v>
      </c>
      <c r="L73" s="230">
        <f t="shared" si="22"/>
        <v>108.58153079651952</v>
      </c>
      <c r="M73" s="230">
        <f t="shared" si="22"/>
        <v>108.28805525654822</v>
      </c>
      <c r="N73" s="230">
        <f t="shared" si="22"/>
        <v>106.81008534777811</v>
      </c>
      <c r="O73" s="230">
        <f t="shared" si="22"/>
        <v>109.07101986431776</v>
      </c>
      <c r="P73" s="230">
        <f t="shared" si="22"/>
        <v>109.22296197727438</v>
      </c>
      <c r="Q73" s="230">
        <f t="shared" si="22"/>
        <v>108.80052393851203</v>
      </c>
      <c r="R73" s="230">
        <f t="shared" si="22"/>
        <v>107.6387165961039</v>
      </c>
      <c r="S73" s="175"/>
      <c r="T73" s="206"/>
      <c r="U73" s="175"/>
      <c r="V73" s="175"/>
      <c r="W73" s="175"/>
      <c r="X73" s="175"/>
      <c r="Y73" s="175"/>
      <c r="Z73" s="175"/>
    </row>
    <row r="74" spans="3:26">
      <c r="C74" s="172"/>
      <c r="D74" s="172"/>
      <c r="E74" s="172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206"/>
      <c r="U74" s="175"/>
      <c r="V74" s="175"/>
      <c r="W74" s="175"/>
      <c r="X74" s="175"/>
      <c r="Y74" s="175"/>
      <c r="Z74" s="175"/>
    </row>
    <row r="75" spans="3:26">
      <c r="C75" s="172"/>
      <c r="D75" s="172"/>
      <c r="E75" s="172"/>
      <c r="F75" s="165" t="str">
        <f>+F32</f>
        <v>Commercial</v>
      </c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206"/>
      <c r="U75" s="175"/>
      <c r="V75" s="175"/>
      <c r="W75" s="175"/>
      <c r="X75" s="175"/>
      <c r="Y75" s="175"/>
      <c r="Z75" s="175"/>
    </row>
    <row r="76" spans="3:26">
      <c r="C76" s="172"/>
      <c r="D76" s="172"/>
      <c r="E76" s="172"/>
      <c r="F76" s="164" t="str">
        <f>+F33</f>
        <v>Regulated Garbage</v>
      </c>
      <c r="G76" s="230">
        <f>+G67</f>
        <v>140.82</v>
      </c>
      <c r="H76" s="230">
        <f>+G76</f>
        <v>140.82</v>
      </c>
      <c r="I76" s="230">
        <f t="shared" ref="I76:N76" si="23">+H76</f>
        <v>140.82</v>
      </c>
      <c r="J76" s="230">
        <f t="shared" si="23"/>
        <v>140.82</v>
      </c>
      <c r="K76" s="230">
        <f t="shared" si="23"/>
        <v>140.82</v>
      </c>
      <c r="L76" s="230">
        <f t="shared" si="23"/>
        <v>140.82</v>
      </c>
      <c r="M76" s="230">
        <f t="shared" si="23"/>
        <v>140.82</v>
      </c>
      <c r="N76" s="230">
        <f t="shared" si="23"/>
        <v>140.82</v>
      </c>
      <c r="O76" s="230">
        <f>+N76</f>
        <v>140.82</v>
      </c>
      <c r="P76" s="230">
        <f>+O76</f>
        <v>140.82</v>
      </c>
      <c r="Q76" s="230">
        <f>+P76</f>
        <v>140.82</v>
      </c>
      <c r="R76" s="230">
        <f>+Q76</f>
        <v>140.82</v>
      </c>
      <c r="S76" s="175"/>
      <c r="T76" s="206"/>
      <c r="U76" s="175"/>
      <c r="V76" s="175"/>
      <c r="W76" s="175"/>
      <c r="X76" s="175"/>
      <c r="Y76" s="175"/>
      <c r="Z76" s="175"/>
    </row>
    <row r="77" spans="3:26">
      <c r="C77" s="172"/>
      <c r="D77" s="172"/>
      <c r="E77" s="172"/>
      <c r="F77" s="164" t="str">
        <f>+F34</f>
        <v>Unregulated Garbage</v>
      </c>
      <c r="G77" s="230">
        <f>+G68</f>
        <v>140.82</v>
      </c>
      <c r="H77" s="230">
        <f t="shared" ref="H77:R77" si="24">+H68</f>
        <v>140.82</v>
      </c>
      <c r="I77" s="230">
        <f t="shared" si="24"/>
        <v>140.82</v>
      </c>
      <c r="J77" s="230">
        <f t="shared" si="24"/>
        <v>140.82</v>
      </c>
      <c r="K77" s="230">
        <f t="shared" si="24"/>
        <v>140.82</v>
      </c>
      <c r="L77" s="230">
        <f t="shared" si="24"/>
        <v>140.82</v>
      </c>
      <c r="M77" s="230">
        <f t="shared" si="24"/>
        <v>140.82</v>
      </c>
      <c r="N77" s="230">
        <f t="shared" si="24"/>
        <v>140.82</v>
      </c>
      <c r="O77" s="230">
        <f t="shared" si="24"/>
        <v>140.82</v>
      </c>
      <c r="P77" s="230">
        <f t="shared" si="24"/>
        <v>140.82</v>
      </c>
      <c r="Q77" s="230">
        <f t="shared" si="24"/>
        <v>140.82</v>
      </c>
      <c r="R77" s="230">
        <f t="shared" si="24"/>
        <v>140.82</v>
      </c>
      <c r="S77" s="175"/>
      <c r="T77" s="206"/>
      <c r="U77" s="175"/>
      <c r="V77" s="175"/>
      <c r="W77" s="175"/>
      <c r="X77" s="175"/>
      <c r="Y77" s="175"/>
      <c r="Z77" s="175"/>
    </row>
    <row r="78" spans="3:26">
      <c r="C78" s="172"/>
      <c r="D78" s="172"/>
      <c r="E78" s="172"/>
      <c r="F78" s="164" t="str">
        <f>+F36</f>
        <v>Regulated RCY (MF)</v>
      </c>
      <c r="G78" s="229">
        <f>+G69</f>
        <v>116.77</v>
      </c>
      <c r="H78" s="230">
        <f>G78</f>
        <v>116.77</v>
      </c>
      <c r="I78" s="230">
        <f t="shared" ref="I78:R78" si="25">H78</f>
        <v>116.77</v>
      </c>
      <c r="J78" s="230">
        <f t="shared" si="25"/>
        <v>116.77</v>
      </c>
      <c r="K78" s="230">
        <f t="shared" si="25"/>
        <v>116.77</v>
      </c>
      <c r="L78" s="230">
        <f t="shared" si="25"/>
        <v>116.77</v>
      </c>
      <c r="M78" s="230">
        <f t="shared" si="25"/>
        <v>116.77</v>
      </c>
      <c r="N78" s="230">
        <f t="shared" si="25"/>
        <v>116.77</v>
      </c>
      <c r="O78" s="230">
        <f t="shared" si="25"/>
        <v>116.77</v>
      </c>
      <c r="P78" s="230">
        <f t="shared" si="25"/>
        <v>116.77</v>
      </c>
      <c r="Q78" s="230">
        <f t="shared" si="25"/>
        <v>116.77</v>
      </c>
      <c r="R78" s="230">
        <f t="shared" si="25"/>
        <v>116.77</v>
      </c>
      <c r="S78" s="175"/>
      <c r="T78" s="206"/>
      <c r="U78" s="175"/>
      <c r="V78" s="175"/>
      <c r="W78" s="175"/>
      <c r="X78" s="175"/>
      <c r="Y78" s="175"/>
      <c r="Z78" s="175"/>
    </row>
    <row r="79" spans="3:26">
      <c r="C79" s="172"/>
      <c r="D79" s="172"/>
      <c r="E79" s="172"/>
      <c r="F79" s="164" t="str">
        <f>+F37</f>
        <v>Unregulated RCY / COGS</v>
      </c>
      <c r="G79" s="229">
        <v>116.77</v>
      </c>
      <c r="H79" s="230">
        <f>+G79</f>
        <v>116.77</v>
      </c>
      <c r="I79" s="230">
        <f t="shared" ref="I79:R79" si="26">+H79</f>
        <v>116.77</v>
      </c>
      <c r="J79" s="230">
        <f t="shared" si="26"/>
        <v>116.77</v>
      </c>
      <c r="K79" s="230">
        <f t="shared" si="26"/>
        <v>116.77</v>
      </c>
      <c r="L79" s="230">
        <f t="shared" si="26"/>
        <v>116.77</v>
      </c>
      <c r="M79" s="230">
        <f t="shared" si="26"/>
        <v>116.77</v>
      </c>
      <c r="N79" s="230">
        <f t="shared" si="26"/>
        <v>116.77</v>
      </c>
      <c r="O79" s="230">
        <f t="shared" si="26"/>
        <v>116.77</v>
      </c>
      <c r="P79" s="230">
        <f t="shared" si="26"/>
        <v>116.77</v>
      </c>
      <c r="Q79" s="230">
        <f t="shared" si="26"/>
        <v>116.77</v>
      </c>
      <c r="R79" s="230">
        <f t="shared" si="26"/>
        <v>116.77</v>
      </c>
      <c r="S79" s="175"/>
      <c r="T79" s="206"/>
      <c r="U79" s="175"/>
      <c r="V79" s="175"/>
      <c r="W79" s="175"/>
      <c r="X79" s="175"/>
      <c r="Y79" s="175"/>
      <c r="Z79" s="175"/>
    </row>
    <row r="80" spans="3:26">
      <c r="C80" s="172"/>
      <c r="D80" s="172"/>
      <c r="E80" s="172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206"/>
      <c r="U80" s="175"/>
      <c r="V80" s="175"/>
      <c r="W80" s="175"/>
      <c r="X80" s="175"/>
      <c r="Y80" s="175"/>
      <c r="Z80" s="175"/>
    </row>
    <row r="81" spans="3:26">
      <c r="C81" s="172"/>
      <c r="D81" s="172"/>
      <c r="E81" s="172"/>
      <c r="F81" s="165" t="str">
        <f>+F42</f>
        <v>Residential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206"/>
      <c r="U81" s="175"/>
      <c r="V81" s="175"/>
      <c r="W81" s="175"/>
      <c r="X81" s="175"/>
      <c r="Y81" s="175"/>
      <c r="Z81" s="175"/>
    </row>
    <row r="82" spans="3:26">
      <c r="C82" s="172"/>
      <c r="D82" s="172"/>
      <c r="E82" s="172"/>
      <c r="F82" s="164" t="str">
        <f>+F43</f>
        <v>Regulated Garbage</v>
      </c>
      <c r="G82" s="230">
        <f>+G67</f>
        <v>140.82</v>
      </c>
      <c r="H82" s="230">
        <f t="shared" ref="H82:R83" si="27">+H67</f>
        <v>140.82</v>
      </c>
      <c r="I82" s="230">
        <f t="shared" si="27"/>
        <v>140.82</v>
      </c>
      <c r="J82" s="230">
        <f t="shared" si="27"/>
        <v>140.82</v>
      </c>
      <c r="K82" s="230">
        <f t="shared" si="27"/>
        <v>140.82</v>
      </c>
      <c r="L82" s="230">
        <f t="shared" si="27"/>
        <v>140.82</v>
      </c>
      <c r="M82" s="230">
        <f t="shared" si="27"/>
        <v>140.82</v>
      </c>
      <c r="N82" s="230">
        <f t="shared" si="27"/>
        <v>140.82</v>
      </c>
      <c r="O82" s="230">
        <f t="shared" si="27"/>
        <v>140.82</v>
      </c>
      <c r="P82" s="230">
        <f t="shared" si="27"/>
        <v>140.82</v>
      </c>
      <c r="Q82" s="230">
        <f t="shared" si="27"/>
        <v>140.82</v>
      </c>
      <c r="R82" s="230">
        <f t="shared" si="27"/>
        <v>140.82</v>
      </c>
      <c r="S82" s="175"/>
      <c r="T82" s="206"/>
      <c r="U82" s="175"/>
      <c r="V82" s="175"/>
      <c r="W82" s="175"/>
      <c r="X82" s="175"/>
      <c r="Y82" s="175"/>
      <c r="Z82" s="175"/>
    </row>
    <row r="83" spans="3:26">
      <c r="C83" s="172"/>
      <c r="D83" s="172"/>
      <c r="E83" s="172"/>
      <c r="F83" s="164" t="str">
        <f>+F44</f>
        <v>Unregulated Garbage</v>
      </c>
      <c r="G83" s="230">
        <f>+G68</f>
        <v>140.82</v>
      </c>
      <c r="H83" s="230">
        <f t="shared" si="27"/>
        <v>140.82</v>
      </c>
      <c r="I83" s="230">
        <f t="shared" si="27"/>
        <v>140.82</v>
      </c>
      <c r="J83" s="230">
        <f t="shared" si="27"/>
        <v>140.82</v>
      </c>
      <c r="K83" s="230">
        <f t="shared" si="27"/>
        <v>140.82</v>
      </c>
      <c r="L83" s="230">
        <f t="shared" si="27"/>
        <v>140.82</v>
      </c>
      <c r="M83" s="230">
        <f t="shared" si="27"/>
        <v>140.82</v>
      </c>
      <c r="N83" s="230">
        <f t="shared" si="27"/>
        <v>140.82</v>
      </c>
      <c r="O83" s="230">
        <f t="shared" si="27"/>
        <v>140.82</v>
      </c>
      <c r="P83" s="230">
        <f t="shared" si="27"/>
        <v>140.82</v>
      </c>
      <c r="Q83" s="230">
        <f t="shared" si="27"/>
        <v>140.82</v>
      </c>
      <c r="R83" s="230">
        <f t="shared" si="27"/>
        <v>140.82</v>
      </c>
      <c r="S83" s="175"/>
      <c r="T83" s="206"/>
      <c r="U83" s="175"/>
      <c r="V83" s="175"/>
      <c r="W83" s="175"/>
      <c r="X83" s="175"/>
      <c r="Y83" s="175"/>
      <c r="Z83" s="175"/>
    </row>
    <row r="84" spans="3:26">
      <c r="C84" s="172"/>
      <c r="D84" s="172"/>
      <c r="E84" s="172"/>
      <c r="F84" s="164" t="str">
        <f>+F46</f>
        <v>Regulated Yardwaste</v>
      </c>
      <c r="G84" s="229">
        <v>52.74</v>
      </c>
      <c r="H84" s="230">
        <f>+G84</f>
        <v>52.74</v>
      </c>
      <c r="I84" s="230">
        <f>+H84</f>
        <v>52.74</v>
      </c>
      <c r="J84" s="230">
        <f>+I84</f>
        <v>52.74</v>
      </c>
      <c r="K84" s="230">
        <f>+J84</f>
        <v>52.74</v>
      </c>
      <c r="L84" s="230">
        <f>+K84</f>
        <v>52.74</v>
      </c>
      <c r="M84" s="229">
        <v>54.77</v>
      </c>
      <c r="N84" s="229">
        <f>M84</f>
        <v>54.77</v>
      </c>
      <c r="O84" s="230">
        <f>+N84</f>
        <v>54.77</v>
      </c>
      <c r="P84" s="230">
        <f>+O84</f>
        <v>54.77</v>
      </c>
      <c r="Q84" s="230">
        <f>+P84</f>
        <v>54.77</v>
      </c>
      <c r="R84" s="230">
        <f>+Q84</f>
        <v>54.77</v>
      </c>
      <c r="S84" s="175"/>
      <c r="T84" s="206"/>
      <c r="U84" s="175"/>
      <c r="V84" s="175"/>
      <c r="W84" s="175"/>
      <c r="X84" s="175"/>
      <c r="Y84" s="175"/>
      <c r="Z84" s="175"/>
    </row>
    <row r="85" spans="3:26">
      <c r="C85" s="172"/>
      <c r="D85" s="172"/>
      <c r="E85" s="172"/>
      <c r="F85" s="164" t="str">
        <f>+F47</f>
        <v>Unregulated Yardwaste</v>
      </c>
      <c r="G85" s="229">
        <v>52.74</v>
      </c>
      <c r="H85" s="230">
        <f>G85</f>
        <v>52.74</v>
      </c>
      <c r="I85" s="230">
        <f t="shared" ref="I85:R85" si="28">H85</f>
        <v>52.74</v>
      </c>
      <c r="J85" s="230">
        <f t="shared" si="28"/>
        <v>52.74</v>
      </c>
      <c r="K85" s="230">
        <f t="shared" si="28"/>
        <v>52.74</v>
      </c>
      <c r="L85" s="230">
        <f t="shared" si="28"/>
        <v>52.74</v>
      </c>
      <c r="M85" s="230">
        <v>54.77</v>
      </c>
      <c r="N85" s="230">
        <f t="shared" si="28"/>
        <v>54.77</v>
      </c>
      <c r="O85" s="230">
        <f t="shared" si="28"/>
        <v>54.77</v>
      </c>
      <c r="P85" s="230">
        <f t="shared" si="28"/>
        <v>54.77</v>
      </c>
      <c r="Q85" s="230">
        <f t="shared" si="28"/>
        <v>54.77</v>
      </c>
      <c r="R85" s="230">
        <f t="shared" si="28"/>
        <v>54.77</v>
      </c>
      <c r="S85" s="175"/>
      <c r="T85" s="206"/>
      <c r="U85" s="175"/>
      <c r="V85" s="175"/>
      <c r="W85" s="175"/>
      <c r="X85" s="175"/>
      <c r="Y85" s="175"/>
      <c r="Z85" s="175"/>
    </row>
    <row r="86" spans="3:26">
      <c r="C86" s="172"/>
      <c r="D86" s="172"/>
      <c r="E86" s="172"/>
      <c r="F86" s="164" t="str">
        <f>+F49</f>
        <v>Regulated RCY</v>
      </c>
      <c r="G86" s="232">
        <v>114.46</v>
      </c>
      <c r="H86" s="230">
        <f>+G86</f>
        <v>114.46</v>
      </c>
      <c r="I86" s="230">
        <f t="shared" ref="I86:R86" si="29">+H86</f>
        <v>114.46</v>
      </c>
      <c r="J86" s="230">
        <f t="shared" si="29"/>
        <v>114.46</v>
      </c>
      <c r="K86" s="230">
        <f t="shared" si="29"/>
        <v>114.46</v>
      </c>
      <c r="L86" s="230">
        <f t="shared" si="29"/>
        <v>114.46</v>
      </c>
      <c r="M86" s="230">
        <f t="shared" si="29"/>
        <v>114.46</v>
      </c>
      <c r="N86" s="230">
        <f t="shared" si="29"/>
        <v>114.46</v>
      </c>
      <c r="O86" s="230">
        <f t="shared" si="29"/>
        <v>114.46</v>
      </c>
      <c r="P86" s="230">
        <f t="shared" si="29"/>
        <v>114.46</v>
      </c>
      <c r="Q86" s="230">
        <f t="shared" si="29"/>
        <v>114.46</v>
      </c>
      <c r="R86" s="230">
        <f t="shared" si="29"/>
        <v>114.46</v>
      </c>
      <c r="S86" s="175"/>
      <c r="T86" s="206"/>
      <c r="U86" s="175"/>
      <c r="V86" s="175"/>
      <c r="W86" s="175"/>
      <c r="X86" s="175"/>
      <c r="Y86" s="175"/>
      <c r="Z86" s="175"/>
    </row>
    <row r="87" spans="3:26">
      <c r="C87" s="172"/>
      <c r="D87" s="172"/>
      <c r="E87" s="172"/>
      <c r="F87" s="164" t="str">
        <f>+F50</f>
        <v>Unregulated RCY</v>
      </c>
      <c r="G87" s="230">
        <f>+G86</f>
        <v>114.46</v>
      </c>
      <c r="H87" s="230">
        <f t="shared" ref="H87:R87" si="30">+H86</f>
        <v>114.46</v>
      </c>
      <c r="I87" s="230">
        <f t="shared" si="30"/>
        <v>114.46</v>
      </c>
      <c r="J87" s="230">
        <f t="shared" si="30"/>
        <v>114.46</v>
      </c>
      <c r="K87" s="230">
        <f t="shared" si="30"/>
        <v>114.46</v>
      </c>
      <c r="L87" s="230">
        <f t="shared" si="30"/>
        <v>114.46</v>
      </c>
      <c r="M87" s="230">
        <f t="shared" si="30"/>
        <v>114.46</v>
      </c>
      <c r="N87" s="230">
        <f t="shared" si="30"/>
        <v>114.46</v>
      </c>
      <c r="O87" s="230">
        <f t="shared" si="30"/>
        <v>114.46</v>
      </c>
      <c r="P87" s="230">
        <f t="shared" si="30"/>
        <v>114.46</v>
      </c>
      <c r="Q87" s="230">
        <f t="shared" si="30"/>
        <v>114.46</v>
      </c>
      <c r="R87" s="230">
        <f t="shared" si="30"/>
        <v>114.46</v>
      </c>
      <c r="S87" s="175"/>
      <c r="T87" s="206"/>
      <c r="U87" s="175"/>
      <c r="V87" s="175"/>
      <c r="W87" s="175"/>
      <c r="X87" s="175"/>
      <c r="Y87" s="175"/>
      <c r="Z87" s="175"/>
    </row>
    <row r="88" spans="3:26">
      <c r="C88" s="172"/>
      <c r="D88" s="172"/>
      <c r="E88" s="172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206"/>
      <c r="U88" s="175"/>
      <c r="V88" s="175"/>
      <c r="W88" s="175"/>
      <c r="X88" s="175"/>
      <c r="Y88" s="175"/>
      <c r="Z88" s="175"/>
    </row>
    <row r="89" spans="3:26" ht="15.75" thickBot="1">
      <c r="C89" s="172"/>
      <c r="D89" s="172"/>
      <c r="E89" s="172"/>
      <c r="F89" s="173" t="s">
        <v>182</v>
      </c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3"/>
    </row>
    <row r="90" spans="3:26">
      <c r="C90" s="172"/>
      <c r="D90" s="172"/>
      <c r="E90" s="172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206"/>
      <c r="U90" s="175"/>
      <c r="V90" s="175"/>
      <c r="W90" s="175"/>
      <c r="X90" s="175"/>
      <c r="Y90" s="175"/>
      <c r="Z90" s="175"/>
    </row>
    <row r="91" spans="3:26">
      <c r="C91" s="172"/>
      <c r="D91" s="172"/>
      <c r="E91" s="172"/>
      <c r="F91" s="164" t="s">
        <v>183</v>
      </c>
      <c r="G91" s="175">
        <v>1449817.4600000002</v>
      </c>
      <c r="H91" s="175">
        <v>1346269.12</v>
      </c>
      <c r="I91" s="175">
        <v>1415311.84</v>
      </c>
      <c r="J91" s="175">
        <v>1254663.27</v>
      </c>
      <c r="K91" s="175">
        <v>1343577.13</v>
      </c>
      <c r="L91" s="175">
        <v>1450354.64</v>
      </c>
      <c r="M91" s="175">
        <v>1531519.51</v>
      </c>
      <c r="N91" s="175">
        <v>1411498.17</v>
      </c>
      <c r="O91" s="175">
        <v>1406436.1900000002</v>
      </c>
      <c r="P91" s="175">
        <v>1565241.4700000002</v>
      </c>
      <c r="Q91" s="175">
        <v>1474368.8900000004</v>
      </c>
      <c r="R91" s="175">
        <v>1421010.47</v>
      </c>
      <c r="S91" s="175"/>
      <c r="T91" s="176">
        <f>SUM(G91:S91)</f>
        <v>17070068.16</v>
      </c>
      <c r="U91" s="175"/>
      <c r="V91" s="175"/>
      <c r="W91" s="175"/>
      <c r="X91" s="175"/>
      <c r="Y91" s="175"/>
      <c r="Z91" s="175"/>
    </row>
    <row r="92" spans="3:26">
      <c r="C92" s="172"/>
      <c r="D92" s="172"/>
      <c r="E92" s="172"/>
      <c r="F92" s="177" t="s">
        <v>184</v>
      </c>
      <c r="G92" s="178">
        <v>435521.06000000006</v>
      </c>
      <c r="H92" s="178">
        <v>350212.11</v>
      </c>
      <c r="I92" s="178">
        <v>370968.32000000001</v>
      </c>
      <c r="J92" s="178">
        <v>345847.29000000004</v>
      </c>
      <c r="K92" s="178">
        <v>344943.62</v>
      </c>
      <c r="L92" s="178">
        <v>387899.13</v>
      </c>
      <c r="M92" s="178">
        <v>395947.85</v>
      </c>
      <c r="N92" s="178">
        <v>366679.64</v>
      </c>
      <c r="O92" s="178">
        <v>407018.47</v>
      </c>
      <c r="P92" s="178">
        <v>398802.47</v>
      </c>
      <c r="Q92" s="178">
        <v>397182.74</v>
      </c>
      <c r="R92" s="178">
        <v>461848.77</v>
      </c>
      <c r="S92" s="178"/>
      <c r="T92" s="179">
        <f>SUM(G92:S92)</f>
        <v>4662871.4700000007</v>
      </c>
      <c r="U92" s="175"/>
      <c r="V92" s="175"/>
      <c r="W92" s="175"/>
      <c r="X92" s="175"/>
      <c r="Y92" s="175"/>
      <c r="Z92" s="175"/>
    </row>
    <row r="93" spans="3:26">
      <c r="C93" s="172"/>
      <c r="D93" s="172"/>
      <c r="E93" s="172"/>
      <c r="F93" s="164" t="s">
        <v>17</v>
      </c>
      <c r="G93" s="175">
        <f t="shared" ref="G93:Q93" si="31">SUM(G91:G92)</f>
        <v>1885338.5200000003</v>
      </c>
      <c r="H93" s="175">
        <f t="shared" si="31"/>
        <v>1696481.23</v>
      </c>
      <c r="I93" s="175">
        <f t="shared" si="31"/>
        <v>1786280.1600000001</v>
      </c>
      <c r="J93" s="175">
        <f t="shared" si="31"/>
        <v>1600510.56</v>
      </c>
      <c r="K93" s="175">
        <f t="shared" si="31"/>
        <v>1688520.75</v>
      </c>
      <c r="L93" s="175">
        <f t="shared" si="31"/>
        <v>1838253.77</v>
      </c>
      <c r="M93" s="175">
        <f t="shared" si="31"/>
        <v>1927467.3599999999</v>
      </c>
      <c r="N93" s="175">
        <f t="shared" si="31"/>
        <v>1778177.81</v>
      </c>
      <c r="O93" s="175">
        <f t="shared" si="31"/>
        <v>1813454.6600000001</v>
      </c>
      <c r="P93" s="175">
        <f t="shared" si="31"/>
        <v>1964043.9400000002</v>
      </c>
      <c r="Q93" s="175">
        <f t="shared" si="31"/>
        <v>1871551.6300000004</v>
      </c>
      <c r="R93" s="175">
        <f>SUM(R91:R92)</f>
        <v>1882859.24</v>
      </c>
      <c r="S93" s="175"/>
      <c r="T93" s="176">
        <f>SUM(G93:S93)</f>
        <v>21732939.629999999</v>
      </c>
      <c r="U93" s="175"/>
      <c r="V93" s="175"/>
      <c r="W93" s="175"/>
      <c r="X93" s="175"/>
      <c r="Y93" s="175"/>
      <c r="Z93" s="175"/>
    </row>
    <row r="94" spans="3:26">
      <c r="C94" s="172"/>
      <c r="D94" s="172"/>
      <c r="E94" s="172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206"/>
      <c r="U94" s="175"/>
      <c r="V94" s="175"/>
      <c r="W94" s="175"/>
      <c r="X94" s="175"/>
      <c r="Y94" s="175"/>
      <c r="Z94" s="175"/>
    </row>
    <row r="95" spans="3:26">
      <c r="C95" s="172"/>
      <c r="D95" s="172"/>
      <c r="E95" s="172"/>
      <c r="F95" s="164" t="s">
        <v>185</v>
      </c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206"/>
      <c r="U95" s="175"/>
      <c r="V95" s="175"/>
      <c r="W95" s="175"/>
      <c r="X95" s="175"/>
      <c r="Y95" s="175"/>
      <c r="Z95" s="175"/>
    </row>
    <row r="96" spans="3:26">
      <c r="C96" s="172"/>
      <c r="D96" s="172"/>
      <c r="E96" s="172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206"/>
      <c r="U96" s="175"/>
      <c r="V96" s="175"/>
      <c r="W96" s="175"/>
      <c r="X96" s="175"/>
      <c r="Y96" s="175"/>
      <c r="Z96" s="175"/>
    </row>
    <row r="97" spans="1:26">
      <c r="C97" s="172"/>
      <c r="D97" s="172"/>
      <c r="E97" s="172"/>
      <c r="F97" s="165" t="str">
        <f>+F66</f>
        <v>Roll-off / Industrial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6"/>
      <c r="U97" s="175"/>
      <c r="V97" s="175"/>
      <c r="W97" s="175"/>
      <c r="X97" s="175"/>
      <c r="Y97" s="175"/>
      <c r="Z97" s="175"/>
    </row>
    <row r="98" spans="1:26">
      <c r="C98" s="172"/>
      <c r="D98" s="172"/>
      <c r="E98" s="172"/>
      <c r="F98" s="164" t="str">
        <f>+F67</f>
        <v>Regulated Garbage</v>
      </c>
      <c r="G98" s="175">
        <f t="shared" ref="G98:R99" si="32">+G18*G67</f>
        <v>13206.09960000002</v>
      </c>
      <c r="H98" s="175">
        <f t="shared" si="32"/>
        <v>10454.476799999989</v>
      </c>
      <c r="I98" s="175">
        <f t="shared" si="32"/>
        <v>12899.111999999992</v>
      </c>
      <c r="J98" s="175">
        <f t="shared" si="32"/>
        <v>10781.179199999982</v>
      </c>
      <c r="K98" s="175">
        <f t="shared" si="32"/>
        <v>9605.3322000000062</v>
      </c>
      <c r="L98" s="175">
        <f t="shared" si="32"/>
        <v>11840.145600000003</v>
      </c>
      <c r="M98" s="175">
        <f t="shared" si="32"/>
        <v>10554.458999999986</v>
      </c>
      <c r="N98" s="175">
        <f t="shared" si="32"/>
        <v>12387.935399999975</v>
      </c>
      <c r="O98" s="175">
        <f t="shared" si="32"/>
        <v>12556.919399999986</v>
      </c>
      <c r="P98" s="175">
        <f t="shared" si="32"/>
        <v>11471.197199999975</v>
      </c>
      <c r="Q98" s="175">
        <f t="shared" si="32"/>
        <v>13089.219000000025</v>
      </c>
      <c r="R98" s="175">
        <f t="shared" si="32"/>
        <v>11405.011799999984</v>
      </c>
      <c r="S98" s="175"/>
      <c r="T98" s="176">
        <f>SUM(G98:S98)</f>
        <v>140251.08719999992</v>
      </c>
      <c r="U98" s="175"/>
      <c r="V98" s="175"/>
      <c r="W98" s="175"/>
      <c r="X98" s="175"/>
      <c r="Y98" s="175"/>
      <c r="Z98" s="175"/>
    </row>
    <row r="99" spans="1:26">
      <c r="C99" s="172"/>
      <c r="D99" s="172"/>
      <c r="E99" s="172"/>
      <c r="F99" s="164" t="str">
        <f>+F68</f>
        <v>Unregulated Garbage</v>
      </c>
      <c r="G99" s="175">
        <f t="shared" si="32"/>
        <v>263479.85279999994</v>
      </c>
      <c r="H99" s="175">
        <f t="shared" si="32"/>
        <v>256828.92420000004</v>
      </c>
      <c r="I99" s="175">
        <f t="shared" si="32"/>
        <v>231812.25119999997</v>
      </c>
      <c r="J99" s="175">
        <f t="shared" si="32"/>
        <v>178487.9418</v>
      </c>
      <c r="K99" s="175">
        <f t="shared" si="32"/>
        <v>186292.18619999994</v>
      </c>
      <c r="L99" s="175">
        <f t="shared" si="32"/>
        <v>207446.16659999997</v>
      </c>
      <c r="M99" s="175">
        <f t="shared" si="32"/>
        <v>223771.42920000001</v>
      </c>
      <c r="N99" s="175">
        <f t="shared" si="32"/>
        <v>235824.21300000005</v>
      </c>
      <c r="O99" s="175">
        <f t="shared" si="32"/>
        <v>232783.90920000005</v>
      </c>
      <c r="P99" s="175">
        <f t="shared" si="32"/>
        <v>233762.60819999999</v>
      </c>
      <c r="Q99" s="175">
        <f t="shared" si="32"/>
        <v>213542.26439999993</v>
      </c>
      <c r="R99" s="175">
        <f t="shared" si="32"/>
        <v>215941.83720000001</v>
      </c>
      <c r="S99" s="175"/>
      <c r="T99" s="176">
        <f>SUM(G99:S99)</f>
        <v>2679973.5839999998</v>
      </c>
      <c r="U99" s="175"/>
      <c r="V99" s="175"/>
      <c r="W99" s="175"/>
      <c r="X99" s="175"/>
      <c r="Y99" s="175"/>
      <c r="Z99" s="175"/>
    </row>
    <row r="100" spans="1:26">
      <c r="C100" s="172"/>
      <c r="D100" s="172"/>
      <c r="E100" s="172"/>
      <c r="F100" s="164" t="str">
        <f>+F69</f>
        <v>Regulated RCY (MF)</v>
      </c>
      <c r="G100" s="175">
        <f t="shared" ref="G100:R100" si="33">+G21*G69</f>
        <v>3103.7466000000004</v>
      </c>
      <c r="H100" s="175">
        <f t="shared" si="33"/>
        <v>2435.8222000000001</v>
      </c>
      <c r="I100" s="175">
        <f t="shared" si="33"/>
        <v>1735.2021999999999</v>
      </c>
      <c r="J100" s="175">
        <f t="shared" si="33"/>
        <v>2417.1390000000001</v>
      </c>
      <c r="K100" s="175">
        <f t="shared" si="33"/>
        <v>1277.4638000000002</v>
      </c>
      <c r="L100" s="175">
        <f t="shared" si="33"/>
        <v>1484.1467000000002</v>
      </c>
      <c r="M100" s="175">
        <f t="shared" si="33"/>
        <v>1988.5931</v>
      </c>
      <c r="N100" s="175">
        <f t="shared" si="33"/>
        <v>1867.1522999999997</v>
      </c>
      <c r="O100" s="175">
        <f t="shared" si="33"/>
        <v>2449.8346000000001</v>
      </c>
      <c r="P100" s="175">
        <f t="shared" si="33"/>
        <v>2390.2819000000004</v>
      </c>
      <c r="Q100" s="175">
        <f t="shared" si="33"/>
        <v>1673.3141000000001</v>
      </c>
      <c r="R100" s="175">
        <f t="shared" si="33"/>
        <v>2880.7158999999997</v>
      </c>
      <c r="S100" s="175"/>
      <c r="T100" s="176">
        <f>SUM(G100:S100)</f>
        <v>25703.412400000001</v>
      </c>
      <c r="U100" s="175"/>
      <c r="V100" s="175"/>
      <c r="W100" s="175"/>
      <c r="X100" s="175"/>
      <c r="Y100" s="175"/>
      <c r="Z100" s="175"/>
    </row>
    <row r="101" spans="1:26">
      <c r="A101" s="172" t="str">
        <f>A23</f>
        <v>I</v>
      </c>
      <c r="B101" s="172" t="str">
        <f>B23</f>
        <v>RCY</v>
      </c>
      <c r="C101" s="172" t="str">
        <f>C23</f>
        <v>YW</v>
      </c>
      <c r="D101" s="172"/>
      <c r="E101" s="172"/>
      <c r="F101" s="177" t="str">
        <f>+F70</f>
        <v>Unregulated RCY / COGS</v>
      </c>
      <c r="G101" s="178">
        <v>173606.85000000003</v>
      </c>
      <c r="H101" s="178">
        <v>191480.89000000004</v>
      </c>
      <c r="I101" s="178">
        <v>183545.83000000005</v>
      </c>
      <c r="J101" s="178">
        <v>83636.840000000026</v>
      </c>
      <c r="K101" s="178">
        <v>118758.72</v>
      </c>
      <c r="L101" s="178">
        <v>146954.52000000005</v>
      </c>
      <c r="M101" s="178">
        <v>160446.31</v>
      </c>
      <c r="N101" s="178">
        <v>159351.52000000002</v>
      </c>
      <c r="O101" s="178">
        <v>164025.5</v>
      </c>
      <c r="P101" s="178">
        <v>181861.13000000003</v>
      </c>
      <c r="Q101" s="178">
        <v>148903.30000000002</v>
      </c>
      <c r="R101" s="178">
        <v>133743.78999999998</v>
      </c>
      <c r="S101" s="178"/>
      <c r="T101" s="179">
        <f>SUM(G101:S101)</f>
        <v>1846315.2000000004</v>
      </c>
      <c r="U101" s="175"/>
      <c r="V101" s="175"/>
      <c r="W101" s="175"/>
      <c r="X101" s="175"/>
      <c r="Y101" s="175"/>
      <c r="Z101" s="175"/>
    </row>
    <row r="102" spans="1:26">
      <c r="C102" s="172"/>
      <c r="D102" s="172"/>
      <c r="E102" s="172"/>
      <c r="F102" s="164" t="str">
        <f>+F25</f>
        <v>Total Roll-off / Industrial</v>
      </c>
      <c r="G102" s="175">
        <f>SUM(G98:G101)</f>
        <v>453396.549</v>
      </c>
      <c r="H102" s="175">
        <f t="shared" ref="H102:R102" si="34">SUM(H97:H101)</f>
        <v>461200.11320000002</v>
      </c>
      <c r="I102" s="175">
        <f t="shared" si="34"/>
        <v>429992.39540000004</v>
      </c>
      <c r="J102" s="175">
        <f t="shared" si="34"/>
        <v>275323.09999999998</v>
      </c>
      <c r="K102" s="175">
        <f t="shared" si="34"/>
        <v>315933.70219999994</v>
      </c>
      <c r="L102" s="175">
        <f t="shared" si="34"/>
        <v>367724.97890000005</v>
      </c>
      <c r="M102" s="175">
        <f t="shared" si="34"/>
        <v>396760.79129999998</v>
      </c>
      <c r="N102" s="175">
        <f t="shared" si="34"/>
        <v>409430.82070000004</v>
      </c>
      <c r="O102" s="175">
        <f t="shared" si="34"/>
        <v>411816.16320000007</v>
      </c>
      <c r="P102" s="175">
        <f t="shared" si="34"/>
        <v>429485.21730000002</v>
      </c>
      <c r="Q102" s="175">
        <f t="shared" si="34"/>
        <v>377208.09749999992</v>
      </c>
      <c r="R102" s="175">
        <f t="shared" si="34"/>
        <v>363971.35489999998</v>
      </c>
      <c r="S102" s="175"/>
      <c r="T102" s="176">
        <f>SUM(G102:S102)</f>
        <v>4692243.2835999997</v>
      </c>
      <c r="U102" s="175"/>
      <c r="V102" s="175"/>
      <c r="W102" s="175"/>
      <c r="X102" s="175"/>
      <c r="Y102" s="175"/>
      <c r="Z102" s="175"/>
    </row>
    <row r="103" spans="1:26">
      <c r="C103" s="172"/>
      <c r="D103" s="172"/>
      <c r="E103" s="172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206"/>
      <c r="U103" s="175"/>
      <c r="V103" s="175"/>
      <c r="W103" s="175"/>
      <c r="X103" s="175"/>
      <c r="Y103" s="175"/>
      <c r="Z103" s="175"/>
    </row>
    <row r="104" spans="1:26">
      <c r="A104" s="172" t="str">
        <f>A18</f>
        <v>I</v>
      </c>
      <c r="B104" s="172" t="str">
        <f>+B18</f>
        <v>MSW</v>
      </c>
      <c r="C104" s="172">
        <v>20</v>
      </c>
      <c r="D104" s="172" t="s">
        <v>148</v>
      </c>
      <c r="E104" s="172" t="s">
        <v>149</v>
      </c>
      <c r="F104" s="164" t="s">
        <v>186</v>
      </c>
      <c r="G104" s="175">
        <v>13206.09960000002</v>
      </c>
      <c r="H104" s="175">
        <v>10454.476799999989</v>
      </c>
      <c r="I104" s="175">
        <v>12899.111999999992</v>
      </c>
      <c r="J104" s="175">
        <v>10781.179199999982</v>
      </c>
      <c r="K104" s="175">
        <v>9605.3322000000062</v>
      </c>
      <c r="L104" s="175">
        <v>11840.145600000003</v>
      </c>
      <c r="M104" s="175">
        <v>10554.458999999986</v>
      </c>
      <c r="N104" s="175">
        <v>12387.935399999975</v>
      </c>
      <c r="O104" s="175">
        <v>12556.919399999986</v>
      </c>
      <c r="P104" s="175">
        <v>11471.197199999975</v>
      </c>
      <c r="Q104" s="175">
        <v>13089.219000000025</v>
      </c>
      <c r="R104" s="175">
        <v>11405.011799999984</v>
      </c>
      <c r="S104" s="175"/>
      <c r="T104" s="176">
        <f>SUM(G104:S104)</f>
        <v>140251.08719999992</v>
      </c>
      <c r="U104" s="175"/>
      <c r="V104" s="175"/>
      <c r="W104" s="175"/>
      <c r="X104" s="175"/>
      <c r="Y104" s="175"/>
      <c r="Z104" s="175"/>
    </row>
    <row r="105" spans="1:26">
      <c r="C105" s="172"/>
      <c r="D105" s="172"/>
      <c r="E105" s="172"/>
      <c r="F105" s="164" t="s">
        <v>187</v>
      </c>
      <c r="G105" s="175">
        <f>G106-G104</f>
        <v>410461.20040000003</v>
      </c>
      <c r="H105" s="175">
        <f t="shared" ref="H105:R105" si="35">H106-H104</f>
        <v>413597.01319999993</v>
      </c>
      <c r="I105" s="175">
        <f t="shared" si="35"/>
        <v>368948.54800000007</v>
      </c>
      <c r="J105" s="175">
        <f t="shared" si="35"/>
        <v>207146.23079999999</v>
      </c>
      <c r="K105" s="175">
        <f t="shared" si="35"/>
        <v>243632.98779999997</v>
      </c>
      <c r="L105" s="175">
        <f t="shared" si="35"/>
        <v>304238.93439999991</v>
      </c>
      <c r="M105" s="175">
        <f t="shared" si="35"/>
        <v>331978.69099999993</v>
      </c>
      <c r="N105" s="175">
        <f t="shared" si="35"/>
        <v>329611.86460000009</v>
      </c>
      <c r="O105" s="175">
        <f t="shared" si="35"/>
        <v>339715.87060000002</v>
      </c>
      <c r="P105" s="175">
        <f t="shared" si="35"/>
        <v>377570.67280000012</v>
      </c>
      <c r="Q105" s="175">
        <f t="shared" si="35"/>
        <v>323740.31100000005</v>
      </c>
      <c r="R105" s="175">
        <f t="shared" si="35"/>
        <v>316272.68820000009</v>
      </c>
      <c r="S105" s="175"/>
      <c r="T105" s="176">
        <f>SUM(G105:S105)</f>
        <v>3966915.0128000006</v>
      </c>
      <c r="U105" s="175"/>
      <c r="V105" s="175"/>
      <c r="W105" s="175"/>
      <c r="X105" s="175"/>
      <c r="Y105" s="175"/>
      <c r="Z105" s="175"/>
    </row>
    <row r="106" spans="1:26">
      <c r="A106" s="172" t="s">
        <v>146</v>
      </c>
      <c r="C106" s="172"/>
      <c r="D106" s="172"/>
      <c r="E106" s="172"/>
      <c r="F106" s="233" t="str">
        <f>+F30</f>
        <v>Total Roll-off / Industrial Pass Thru Disp.</v>
      </c>
      <c r="G106" s="234">
        <v>423667.30000000005</v>
      </c>
      <c r="H106" s="234">
        <v>424051.48999999993</v>
      </c>
      <c r="I106" s="234">
        <v>381847.66000000003</v>
      </c>
      <c r="J106" s="234">
        <v>217927.40999999997</v>
      </c>
      <c r="K106" s="234">
        <v>253238.31999999998</v>
      </c>
      <c r="L106" s="234">
        <v>316079.0799999999</v>
      </c>
      <c r="M106" s="234">
        <v>342533.14999999991</v>
      </c>
      <c r="N106" s="234">
        <v>341999.80000000005</v>
      </c>
      <c r="O106" s="234">
        <v>352272.79000000004</v>
      </c>
      <c r="P106" s="234">
        <v>389041.87000000011</v>
      </c>
      <c r="Q106" s="234">
        <v>336829.53000000009</v>
      </c>
      <c r="R106" s="234">
        <v>327677.70000000007</v>
      </c>
      <c r="S106" s="234"/>
      <c r="T106" s="235">
        <f>SUM(G106:S106)</f>
        <v>4107166.1000000006</v>
      </c>
      <c r="U106" s="175"/>
      <c r="V106" s="175"/>
      <c r="W106" s="175"/>
      <c r="X106" s="175"/>
      <c r="Y106" s="175"/>
      <c r="Z106" s="175"/>
    </row>
    <row r="107" spans="1:26">
      <c r="C107" s="172"/>
      <c r="D107" s="172"/>
      <c r="E107" s="172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236"/>
      <c r="U107" s="175"/>
      <c r="V107" s="175"/>
      <c r="W107" s="175"/>
      <c r="X107" s="175"/>
      <c r="Y107" s="175"/>
      <c r="Z107" s="175"/>
    </row>
    <row r="108" spans="1:26">
      <c r="C108" s="172"/>
      <c r="D108" s="172"/>
      <c r="E108" s="172"/>
      <c r="F108" s="165" t="str">
        <f>+F75</f>
        <v>Commercial</v>
      </c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206"/>
      <c r="U108" s="175"/>
      <c r="V108" s="175"/>
      <c r="W108" s="175"/>
      <c r="X108" s="175"/>
      <c r="Y108" s="175"/>
      <c r="Z108" s="175"/>
    </row>
    <row r="109" spans="1:26">
      <c r="C109" s="172"/>
      <c r="D109" s="172"/>
      <c r="E109" s="172"/>
      <c r="F109" s="164" t="str">
        <f>+F76</f>
        <v>Regulated Garbage</v>
      </c>
      <c r="G109" s="175">
        <f t="shared" ref="G109:R110" si="36">+G33*G76</f>
        <v>34415.446962797854</v>
      </c>
      <c r="H109" s="175">
        <f t="shared" si="36"/>
        <v>29694.94156902306</v>
      </c>
      <c r="I109" s="175">
        <f t="shared" si="36"/>
        <v>30326.170811486561</v>
      </c>
      <c r="J109" s="175">
        <f t="shared" si="36"/>
        <v>25337.24865780352</v>
      </c>
      <c r="K109" s="175">
        <f t="shared" si="36"/>
        <v>25724.427891964995</v>
      </c>
      <c r="L109" s="175">
        <f t="shared" si="36"/>
        <v>31173.621121800599</v>
      </c>
      <c r="M109" s="175">
        <f t="shared" si="36"/>
        <v>31003.873241410551</v>
      </c>
      <c r="N109" s="175">
        <f t="shared" si="36"/>
        <v>29443.713741976309</v>
      </c>
      <c r="O109" s="175">
        <f t="shared" si="36"/>
        <v>30678.730371396181</v>
      </c>
      <c r="P109" s="175">
        <f t="shared" si="36"/>
        <v>29911.732289542852</v>
      </c>
      <c r="Q109" s="175">
        <f t="shared" si="36"/>
        <v>28876.935687385376</v>
      </c>
      <c r="R109" s="175">
        <f t="shared" si="36"/>
        <v>31963.180179732979</v>
      </c>
      <c r="S109" s="175"/>
      <c r="T109" s="176">
        <f>SUM(G109:S109)</f>
        <v>358550.02252632083</v>
      </c>
      <c r="U109" s="175"/>
      <c r="V109" s="175"/>
      <c r="W109" s="175"/>
      <c r="X109" s="175"/>
      <c r="Y109" s="175"/>
      <c r="Z109" s="175"/>
    </row>
    <row r="110" spans="1:26">
      <c r="C110" s="172"/>
      <c r="D110" s="172"/>
      <c r="E110" s="172"/>
      <c r="F110" s="164" t="str">
        <f>+F77</f>
        <v>Unregulated Garbage</v>
      </c>
      <c r="G110" s="175">
        <f t="shared" si="36"/>
        <v>457578.77259252011</v>
      </c>
      <c r="H110" s="175">
        <f t="shared" si="36"/>
        <v>413252.23400792497</v>
      </c>
      <c r="I110" s="175">
        <f t="shared" si="36"/>
        <v>390877.73252100701</v>
      </c>
      <c r="J110" s="175">
        <f t="shared" si="36"/>
        <v>316960.19417221012</v>
      </c>
      <c r="K110" s="175">
        <f t="shared" si="36"/>
        <v>335458.3788123285</v>
      </c>
      <c r="L110" s="175">
        <f t="shared" si="36"/>
        <v>391433.25812749245</v>
      </c>
      <c r="M110" s="175">
        <f t="shared" si="36"/>
        <v>398736.59521529096</v>
      </c>
      <c r="N110" s="175">
        <f t="shared" si="36"/>
        <v>381715.62886121054</v>
      </c>
      <c r="O110" s="175">
        <f t="shared" si="36"/>
        <v>402675.87724209338</v>
      </c>
      <c r="P110" s="175">
        <f t="shared" si="36"/>
        <v>396461.61138553877</v>
      </c>
      <c r="Q110" s="175">
        <f t="shared" si="36"/>
        <v>385100.44949213829</v>
      </c>
      <c r="R110" s="175">
        <f t="shared" si="36"/>
        <v>392331.62877634441</v>
      </c>
      <c r="S110" s="175"/>
      <c r="T110" s="176">
        <f>SUM(G110:S110)</f>
        <v>4662582.3612060994</v>
      </c>
      <c r="U110" s="175"/>
      <c r="V110" s="175"/>
      <c r="W110" s="175"/>
      <c r="X110" s="175"/>
      <c r="Y110" s="175"/>
      <c r="Z110" s="175"/>
    </row>
    <row r="111" spans="1:26">
      <c r="C111" s="172"/>
      <c r="D111" s="172"/>
      <c r="E111" s="172"/>
      <c r="F111" s="164" t="str">
        <f>+F78</f>
        <v>Regulated RCY (MF)</v>
      </c>
      <c r="G111" s="175">
        <f t="shared" ref="G111:R112" si="37">+G36*G78</f>
        <v>4203.7424371384504</v>
      </c>
      <c r="H111" s="175">
        <f t="shared" si="37"/>
        <v>3516.203743485662</v>
      </c>
      <c r="I111" s="175">
        <f t="shared" si="37"/>
        <v>3651.5956644581556</v>
      </c>
      <c r="J111" s="175">
        <f t="shared" si="37"/>
        <v>3399.4167347540492</v>
      </c>
      <c r="K111" s="175">
        <f t="shared" si="37"/>
        <v>3179.4713015983134</v>
      </c>
      <c r="L111" s="175">
        <f t="shared" si="37"/>
        <v>4326.7121088871454</v>
      </c>
      <c r="M111" s="175">
        <f t="shared" si="37"/>
        <v>4399.5742723694639</v>
      </c>
      <c r="N111" s="175">
        <f t="shared" si="37"/>
        <v>3916.2056934264051</v>
      </c>
      <c r="O111" s="175">
        <f t="shared" si="37"/>
        <v>4089.9210923387609</v>
      </c>
      <c r="P111" s="175">
        <f t="shared" si="37"/>
        <v>3917.53565432921</v>
      </c>
      <c r="Q111" s="175">
        <f t="shared" si="37"/>
        <v>4002.0776877938888</v>
      </c>
      <c r="R111" s="175">
        <f t="shared" si="37"/>
        <v>4669.960674362912</v>
      </c>
      <c r="S111" s="175"/>
      <c r="T111" s="176">
        <f>SUM(G111:S111)</f>
        <v>47272.41706494242</v>
      </c>
      <c r="U111" s="175"/>
      <c r="V111" s="175"/>
      <c r="W111" s="175"/>
      <c r="X111" s="175"/>
      <c r="Y111" s="175"/>
      <c r="Z111" s="175"/>
    </row>
    <row r="112" spans="1:26">
      <c r="C112" s="172"/>
      <c r="D112" s="172"/>
      <c r="E112" s="172"/>
      <c r="F112" s="177" t="str">
        <f>+F79</f>
        <v>Unregulated RCY / COGS</v>
      </c>
      <c r="G112" s="178">
        <f t="shared" si="37"/>
        <v>46986.974826338381</v>
      </c>
      <c r="H112" s="178">
        <f t="shared" si="37"/>
        <v>40341.003988466451</v>
      </c>
      <c r="I112" s="178">
        <f t="shared" si="37"/>
        <v>39801.736125545634</v>
      </c>
      <c r="J112" s="178">
        <f t="shared" si="37"/>
        <v>32530.36943139174</v>
      </c>
      <c r="K112" s="178">
        <f t="shared" si="37"/>
        <v>33458.799079349868</v>
      </c>
      <c r="L112" s="178">
        <f t="shared" si="37"/>
        <v>39533.100649836932</v>
      </c>
      <c r="M112" s="178">
        <f t="shared" si="37"/>
        <v>38742.88692561764</v>
      </c>
      <c r="N112" s="178">
        <f t="shared" si="37"/>
        <v>37042.81563473757</v>
      </c>
      <c r="O112" s="178">
        <f t="shared" si="37"/>
        <v>41892.823961516937</v>
      </c>
      <c r="P112" s="178">
        <f t="shared" si="37"/>
        <v>44911.865763993679</v>
      </c>
      <c r="Q112" s="178">
        <f t="shared" si="37"/>
        <v>44496.685870165617</v>
      </c>
      <c r="R112" s="178">
        <f t="shared" si="37"/>
        <v>50306.496517891428</v>
      </c>
      <c r="S112" s="178"/>
      <c r="T112" s="179">
        <f>SUM(G112:S112)</f>
        <v>490045.55877485196</v>
      </c>
      <c r="U112" s="175"/>
      <c r="V112" s="175"/>
      <c r="W112" s="175"/>
      <c r="X112" s="175"/>
      <c r="Y112" s="175"/>
      <c r="Z112" s="175"/>
    </row>
    <row r="113" spans="3:26">
      <c r="C113" s="172"/>
      <c r="D113" s="172"/>
      <c r="E113" s="172"/>
      <c r="F113" s="164" t="str">
        <f>+F39</f>
        <v>Total Commercial per Disposal Report</v>
      </c>
      <c r="G113" s="175">
        <f>SUM(G109:G112)</f>
        <v>543184.93681879481</v>
      </c>
      <c r="H113" s="175">
        <f t="shared" ref="H113:R113" si="38">SUM(H108:H112)</f>
        <v>486804.38330890017</v>
      </c>
      <c r="I113" s="175">
        <f t="shared" si="38"/>
        <v>464657.23512249737</v>
      </c>
      <c r="J113" s="175">
        <f t="shared" si="38"/>
        <v>378227.22899615945</v>
      </c>
      <c r="K113" s="175">
        <f t="shared" si="38"/>
        <v>397821.07708524162</v>
      </c>
      <c r="L113" s="175">
        <f t="shared" si="38"/>
        <v>466466.69200801715</v>
      </c>
      <c r="M113" s="175">
        <f t="shared" si="38"/>
        <v>472882.92965468857</v>
      </c>
      <c r="N113" s="175">
        <f t="shared" si="38"/>
        <v>452118.36393135082</v>
      </c>
      <c r="O113" s="175">
        <f t="shared" si="38"/>
        <v>479337.35266734526</v>
      </c>
      <c r="P113" s="175">
        <f t="shared" si="38"/>
        <v>475202.74509340455</v>
      </c>
      <c r="Q113" s="175">
        <f t="shared" si="38"/>
        <v>462476.14873748319</v>
      </c>
      <c r="R113" s="175">
        <f t="shared" si="38"/>
        <v>479271.26614833169</v>
      </c>
      <c r="S113" s="175"/>
      <c r="T113" s="176">
        <f>SUM(G113:S113)</f>
        <v>5558450.3595722141</v>
      </c>
      <c r="U113" s="175"/>
      <c r="V113" s="175"/>
      <c r="W113" s="175"/>
      <c r="X113" s="175"/>
      <c r="Y113" s="175"/>
      <c r="Z113" s="175"/>
    </row>
    <row r="114" spans="3:26">
      <c r="C114" s="172"/>
      <c r="D114" s="172"/>
      <c r="E114" s="172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206"/>
      <c r="U114" s="175"/>
      <c r="V114" s="175"/>
      <c r="W114" s="175"/>
      <c r="X114" s="175"/>
      <c r="Y114" s="175"/>
      <c r="Z114" s="175"/>
    </row>
    <row r="115" spans="3:26">
      <c r="C115" s="172"/>
      <c r="D115" s="172"/>
      <c r="E115" s="172"/>
      <c r="F115" s="165" t="str">
        <f t="shared" ref="F115:F121" si="39">+F81</f>
        <v>Residential</v>
      </c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206"/>
      <c r="U115" s="175"/>
      <c r="X115" s="175"/>
      <c r="Y115" s="175"/>
      <c r="Z115" s="175"/>
    </row>
    <row r="116" spans="3:26">
      <c r="C116" s="172"/>
      <c r="D116" s="172"/>
      <c r="E116" s="172"/>
      <c r="F116" s="164" t="str">
        <f t="shared" si="39"/>
        <v>Regulated Garbage</v>
      </c>
      <c r="G116" s="175">
        <f t="shared" ref="G116:R117" si="40">+G43*G82</f>
        <v>86753.114663456974</v>
      </c>
      <c r="H116" s="175">
        <f t="shared" si="40"/>
        <v>71008.18520627993</v>
      </c>
      <c r="I116" s="175">
        <f t="shared" si="40"/>
        <v>82387.851263170349</v>
      </c>
      <c r="J116" s="175">
        <f t="shared" si="40"/>
        <v>93031.635223618257</v>
      </c>
      <c r="K116" s="175">
        <f t="shared" si="40"/>
        <v>84904.790209064187</v>
      </c>
      <c r="L116" s="175">
        <f t="shared" si="40"/>
        <v>91859.886221476161</v>
      </c>
      <c r="M116" s="175">
        <f t="shared" si="40"/>
        <v>95951.941826436567</v>
      </c>
      <c r="N116" s="175">
        <f t="shared" si="40"/>
        <v>86745.807586784402</v>
      </c>
      <c r="O116" s="175">
        <f t="shared" si="40"/>
        <v>91432.609474860976</v>
      </c>
      <c r="P116" s="175">
        <f t="shared" si="40"/>
        <v>92153.860890181619</v>
      </c>
      <c r="Q116" s="175">
        <f t="shared" si="40"/>
        <v>86919.210516121486</v>
      </c>
      <c r="R116" s="175">
        <f t="shared" si="40"/>
        <v>97969.313822979908</v>
      </c>
      <c r="S116" s="175"/>
      <c r="T116" s="176">
        <f t="shared" ref="T116:T122" si="41">SUM(G116:S116)</f>
        <v>1061118.2069044306</v>
      </c>
      <c r="U116" s="175"/>
      <c r="V116" s="175"/>
      <c r="W116" s="175"/>
      <c r="X116" s="175"/>
      <c r="Y116" s="175"/>
      <c r="Z116" s="175"/>
    </row>
    <row r="117" spans="3:26">
      <c r="C117" s="172"/>
      <c r="D117" s="172"/>
      <c r="E117" s="172"/>
      <c r="F117" s="164" t="str">
        <f t="shared" si="39"/>
        <v>Unregulated Garbage</v>
      </c>
      <c r="G117" s="175">
        <f t="shared" si="40"/>
        <v>358396.39288806036</v>
      </c>
      <c r="H117" s="175">
        <f t="shared" si="40"/>
        <v>297507.5334432798</v>
      </c>
      <c r="I117" s="175">
        <f t="shared" si="40"/>
        <v>352428.48215768044</v>
      </c>
      <c r="J117" s="175">
        <f t="shared" si="40"/>
        <v>371792.18404212408</v>
      </c>
      <c r="K117" s="175">
        <f t="shared" si="40"/>
        <v>377047.99445845385</v>
      </c>
      <c r="L117" s="175">
        <f t="shared" si="40"/>
        <v>396070.37270337786</v>
      </c>
      <c r="M117" s="175">
        <f t="shared" si="40"/>
        <v>416779.9385863113</v>
      </c>
      <c r="N117" s="175">
        <f t="shared" si="40"/>
        <v>384514.51059557009</v>
      </c>
      <c r="O117" s="175">
        <f t="shared" si="40"/>
        <v>403099.65980826871</v>
      </c>
      <c r="P117" s="175">
        <f t="shared" si="40"/>
        <v>393154.05878197559</v>
      </c>
      <c r="Q117" s="175">
        <f t="shared" si="40"/>
        <v>374788.68556840951</v>
      </c>
      <c r="R117" s="175">
        <f t="shared" si="40"/>
        <v>404829.28504716081</v>
      </c>
      <c r="S117" s="175"/>
      <c r="T117" s="176">
        <f t="shared" si="41"/>
        <v>4530409.0980806723</v>
      </c>
      <c r="U117" s="175"/>
      <c r="V117" s="175"/>
      <c r="W117" s="175"/>
      <c r="X117" s="175"/>
      <c r="Y117" s="175"/>
      <c r="Z117" s="175"/>
    </row>
    <row r="118" spans="3:26">
      <c r="C118" s="172"/>
      <c r="D118" s="172"/>
      <c r="E118" s="172"/>
      <c r="F118" s="164" t="str">
        <f t="shared" si="39"/>
        <v>Regulated Yardwaste</v>
      </c>
      <c r="G118" s="175">
        <f t="shared" ref="G118:R119" si="42">+G46*G84</f>
        <v>14174.044605630501</v>
      </c>
      <c r="H118" s="175">
        <f t="shared" si="42"/>
        <v>12926.53551630907</v>
      </c>
      <c r="I118" s="175">
        <f t="shared" si="42"/>
        <v>22890.267892060961</v>
      </c>
      <c r="J118" s="175">
        <f t="shared" si="42"/>
        <v>34386.372338416819</v>
      </c>
      <c r="K118" s="175">
        <f t="shared" si="42"/>
        <v>34675.212693283123</v>
      </c>
      <c r="L118" s="175">
        <f t="shared" si="42"/>
        <v>30887.307316529168</v>
      </c>
      <c r="M118" s="175">
        <f t="shared" si="42"/>
        <v>33287.430519106216</v>
      </c>
      <c r="N118" s="175">
        <f t="shared" si="42"/>
        <v>20875.389342719816</v>
      </c>
      <c r="O118" s="175">
        <f t="shared" si="42"/>
        <v>22390.136073892954</v>
      </c>
      <c r="P118" s="175">
        <f t="shared" si="42"/>
        <v>27241.146635154997</v>
      </c>
      <c r="Q118" s="175">
        <f t="shared" si="42"/>
        <v>35202.290097432102</v>
      </c>
      <c r="R118" s="175">
        <f t="shared" si="42"/>
        <v>25304.940007847566</v>
      </c>
      <c r="S118" s="175"/>
      <c r="T118" s="176">
        <f t="shared" si="41"/>
        <v>314241.07303838327</v>
      </c>
      <c r="U118" s="175"/>
      <c r="V118" s="175"/>
      <c r="W118" s="175"/>
      <c r="X118" s="175"/>
      <c r="Y118" s="175"/>
      <c r="Z118" s="175"/>
    </row>
    <row r="119" spans="3:26">
      <c r="C119" s="172"/>
      <c r="D119" s="172"/>
      <c r="E119" s="172"/>
      <c r="F119" s="164" t="str">
        <f t="shared" si="39"/>
        <v>Unregulated Yardwaste</v>
      </c>
      <c r="G119" s="175">
        <f t="shared" si="42"/>
        <v>100358.07686761949</v>
      </c>
      <c r="H119" s="175">
        <f t="shared" si="42"/>
        <v>113064.87133691991</v>
      </c>
      <c r="I119" s="175">
        <f t="shared" si="42"/>
        <v>171569.28373304603</v>
      </c>
      <c r="J119" s="175">
        <f t="shared" si="42"/>
        <v>226934.40550771778</v>
      </c>
      <c r="K119" s="175">
        <f t="shared" si="42"/>
        <v>274673.07763193356</v>
      </c>
      <c r="L119" s="175">
        <f t="shared" si="42"/>
        <v>269343.69688980962</v>
      </c>
      <c r="M119" s="175">
        <f t="shared" si="42"/>
        <v>229971.92960837448</v>
      </c>
      <c r="N119" s="175">
        <f t="shared" si="42"/>
        <v>165003.3157098435</v>
      </c>
      <c r="O119" s="175">
        <f t="shared" si="42"/>
        <v>166958.8924778435</v>
      </c>
      <c r="P119" s="175">
        <f t="shared" si="42"/>
        <v>227315.98025449619</v>
      </c>
      <c r="Q119" s="175">
        <f t="shared" si="42"/>
        <v>280612.00409857597</v>
      </c>
      <c r="R119" s="175">
        <f t="shared" si="42"/>
        <v>191230.24987841057</v>
      </c>
      <c r="S119" s="175"/>
      <c r="T119" s="176">
        <f t="shared" si="41"/>
        <v>2417035.7839945909</v>
      </c>
      <c r="U119" s="175"/>
      <c r="V119" s="175"/>
      <c r="W119" s="175"/>
      <c r="X119" s="175"/>
      <c r="Y119" s="175"/>
      <c r="Z119" s="175"/>
    </row>
    <row r="120" spans="3:26">
      <c r="C120" s="172"/>
      <c r="D120" s="172"/>
      <c r="E120" s="172"/>
      <c r="F120" s="164" t="str">
        <f t="shared" si="39"/>
        <v>Regulated RCY</v>
      </c>
      <c r="G120" s="175">
        <f>+G49*G86</f>
        <v>43116.621267763818</v>
      </c>
      <c r="H120" s="175">
        <f t="shared" ref="H120:R120" si="43">+H49*H86</f>
        <v>31885.24369225173</v>
      </c>
      <c r="I120" s="175">
        <f t="shared" si="43"/>
        <v>31965.727173920379</v>
      </c>
      <c r="J120" s="175">
        <f t="shared" si="43"/>
        <v>43347.678953687464</v>
      </c>
      <c r="K120" s="175">
        <f t="shared" si="43"/>
        <v>40280.957837028043</v>
      </c>
      <c r="L120" s="175">
        <f t="shared" si="43"/>
        <v>42686.542346809721</v>
      </c>
      <c r="M120" s="175">
        <f t="shared" si="43"/>
        <v>39924.265076355492</v>
      </c>
      <c r="N120" s="175">
        <f t="shared" si="43"/>
        <v>34460.729821045192</v>
      </c>
      <c r="O120" s="175">
        <f t="shared" si="43"/>
        <v>40057.359417801898</v>
      </c>
      <c r="P120" s="175">
        <f t="shared" si="43"/>
        <v>39451.963922349416</v>
      </c>
      <c r="Q120" s="175">
        <f t="shared" si="43"/>
        <v>40642.508627317096</v>
      </c>
      <c r="R120" s="175">
        <f t="shared" si="43"/>
        <v>51645.932490451167</v>
      </c>
      <c r="S120" s="175"/>
      <c r="T120" s="176">
        <f t="shared" si="41"/>
        <v>479465.53062678134</v>
      </c>
      <c r="U120" s="175"/>
      <c r="V120" s="175"/>
      <c r="W120" s="175"/>
      <c r="X120" s="175"/>
      <c r="Y120" s="175"/>
      <c r="Z120" s="175"/>
    </row>
    <row r="121" spans="3:26">
      <c r="C121" s="172"/>
      <c r="D121" s="172"/>
      <c r="E121" s="172"/>
      <c r="F121" s="177" t="str">
        <f t="shared" si="39"/>
        <v>Unregulated RCY</v>
      </c>
      <c r="G121" s="178">
        <f t="shared" ref="G121:R121" si="44">+G50*G87</f>
        <v>211369.37894082727</v>
      </c>
      <c r="H121" s="178">
        <f t="shared" si="44"/>
        <v>165338.93801119013</v>
      </c>
      <c r="I121" s="178">
        <f t="shared" si="44"/>
        <v>201878.91378898642</v>
      </c>
      <c r="J121" s="178">
        <f t="shared" si="44"/>
        <v>202904.73162219164</v>
      </c>
      <c r="K121" s="178">
        <f t="shared" si="44"/>
        <v>200363.09005997548</v>
      </c>
      <c r="L121" s="178">
        <f t="shared" si="44"/>
        <v>215411.46472563717</v>
      </c>
      <c r="M121" s="178">
        <f t="shared" si="44"/>
        <v>221897.83025673355</v>
      </c>
      <c r="N121" s="178">
        <f t="shared" si="44"/>
        <v>204641.54566489221</v>
      </c>
      <c r="O121" s="178">
        <f t="shared" si="44"/>
        <v>224869.66619329894</v>
      </c>
      <c r="P121" s="178">
        <f t="shared" si="44"/>
        <v>211680.1540252477</v>
      </c>
      <c r="Q121" s="178">
        <f t="shared" si="44"/>
        <v>209296.78387903277</v>
      </c>
      <c r="R121" s="178">
        <f t="shared" si="44"/>
        <v>247285.57337670104</v>
      </c>
      <c r="S121" s="178"/>
      <c r="T121" s="179">
        <f t="shared" si="41"/>
        <v>2516938.0705447146</v>
      </c>
      <c r="U121" s="175"/>
      <c r="V121" s="175"/>
      <c r="W121" s="175"/>
      <c r="X121" s="175"/>
      <c r="Y121" s="175"/>
      <c r="Z121" s="175"/>
    </row>
    <row r="122" spans="3:26">
      <c r="C122" s="172"/>
      <c r="D122" s="172"/>
      <c r="E122" s="172"/>
      <c r="F122" s="164" t="str">
        <f>+F52</f>
        <v>Total Residential per Disposal Report</v>
      </c>
      <c r="G122" s="175">
        <f>SUM(G116:G121)</f>
        <v>814167.62923335843</v>
      </c>
      <c r="H122" s="175">
        <f t="shared" ref="H122:R122" si="45">SUM(H116:H121)</f>
        <v>691731.30720623059</v>
      </c>
      <c r="I122" s="175">
        <f t="shared" si="45"/>
        <v>863120.52600886452</v>
      </c>
      <c r="J122" s="175">
        <f t="shared" si="45"/>
        <v>972397.00768775598</v>
      </c>
      <c r="K122" s="175">
        <f t="shared" si="45"/>
        <v>1011945.1228897383</v>
      </c>
      <c r="L122" s="175">
        <f t="shared" si="45"/>
        <v>1046259.2702036398</v>
      </c>
      <c r="M122" s="175">
        <f t="shared" si="45"/>
        <v>1037813.3358733177</v>
      </c>
      <c r="N122" s="175">
        <f t="shared" si="45"/>
        <v>896241.29872085515</v>
      </c>
      <c r="O122" s="175">
        <f t="shared" si="45"/>
        <v>948808.32344596717</v>
      </c>
      <c r="P122" s="175">
        <f t="shared" si="45"/>
        <v>990997.1645094055</v>
      </c>
      <c r="Q122" s="175">
        <f t="shared" si="45"/>
        <v>1027461.482786889</v>
      </c>
      <c r="R122" s="175">
        <f t="shared" si="45"/>
        <v>1018265.2946235512</v>
      </c>
      <c r="S122" s="175"/>
      <c r="T122" s="176">
        <f t="shared" si="41"/>
        <v>11319207.763189575</v>
      </c>
      <c r="U122" s="175"/>
      <c r="V122" s="175"/>
      <c r="W122" s="175"/>
      <c r="X122" s="175"/>
      <c r="Y122" s="175"/>
      <c r="Z122" s="175"/>
    </row>
    <row r="123" spans="3:26">
      <c r="C123" s="172"/>
      <c r="D123" s="172"/>
      <c r="E123" s="172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206"/>
      <c r="U123" s="175"/>
      <c r="V123" s="175"/>
      <c r="W123" s="175"/>
      <c r="X123" s="175"/>
      <c r="Y123" s="175"/>
      <c r="Z123" s="175"/>
    </row>
    <row r="124" spans="3:26">
      <c r="C124" s="172"/>
      <c r="D124" s="172"/>
      <c r="E124" s="172"/>
      <c r="F124" s="164" t="s">
        <v>188</v>
      </c>
      <c r="G124" s="175">
        <f>SUM(G98,G100,G109,G111,G116,G118,G120)</f>
        <v>198972.81613678762</v>
      </c>
      <c r="H124" s="175">
        <f t="shared" ref="H124:Q124" si="46">SUM(H98,H100,H109,H111,H116,H118,H120)</f>
        <v>161921.40872734945</v>
      </c>
      <c r="I124" s="175">
        <f t="shared" si="46"/>
        <v>185855.9270050964</v>
      </c>
      <c r="J124" s="175">
        <f t="shared" si="46"/>
        <v>212700.67010828009</v>
      </c>
      <c r="K124" s="175">
        <f t="shared" si="46"/>
        <v>199647.65593293868</v>
      </c>
      <c r="L124" s="175">
        <f t="shared" si="46"/>
        <v>214258.36141550279</v>
      </c>
      <c r="M124" s="175">
        <f t="shared" si="46"/>
        <v>217110.13703567826</v>
      </c>
      <c r="N124" s="175">
        <f t="shared" si="46"/>
        <v>189696.93388595208</v>
      </c>
      <c r="O124" s="175">
        <f t="shared" si="46"/>
        <v>203655.51043029077</v>
      </c>
      <c r="P124" s="175">
        <f t="shared" si="46"/>
        <v>206537.71849155804</v>
      </c>
      <c r="Q124" s="175">
        <f t="shared" si="46"/>
        <v>210405.55571604997</v>
      </c>
      <c r="R124" s="175">
        <f>SUM(R98,R100,R109,R111,R116,R118,R120)</f>
        <v>225839.05487537451</v>
      </c>
      <c r="S124" s="175"/>
      <c r="T124" s="176">
        <f>SUM(G124:S124)</f>
        <v>2426601.7497608582</v>
      </c>
      <c r="U124" s="175"/>
      <c r="V124" s="175"/>
      <c r="W124" s="175"/>
      <c r="X124" s="175"/>
      <c r="Y124" s="175"/>
      <c r="Z124" s="175"/>
    </row>
    <row r="125" spans="3:26">
      <c r="C125" s="172"/>
      <c r="D125" s="172"/>
      <c r="E125" s="172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206"/>
      <c r="U125" s="175"/>
      <c r="V125" s="175"/>
      <c r="W125" s="175"/>
      <c r="X125" s="175"/>
      <c r="Y125" s="175"/>
      <c r="Z125" s="175"/>
    </row>
    <row r="126" spans="3:26">
      <c r="C126" s="172"/>
      <c r="D126" s="172"/>
      <c r="E126" s="172"/>
      <c r="F126" s="164" t="s">
        <v>189</v>
      </c>
      <c r="G126" s="175">
        <f>+G102+G113+G122</f>
        <v>1810749.1150521534</v>
      </c>
      <c r="H126" s="175">
        <f t="shared" ref="H126:R126" si="47">+H102+H113+H122</f>
        <v>1639735.8037151308</v>
      </c>
      <c r="I126" s="175">
        <f t="shared" si="47"/>
        <v>1757770.1565313619</v>
      </c>
      <c r="J126" s="175">
        <f t="shared" si="47"/>
        <v>1625947.3366839155</v>
      </c>
      <c r="K126" s="175">
        <f t="shared" si="47"/>
        <v>1725699.9021749799</v>
      </c>
      <c r="L126" s="175">
        <f t="shared" si="47"/>
        <v>1880450.9411116568</v>
      </c>
      <c r="M126" s="175">
        <f t="shared" si="47"/>
        <v>1907457.0568280062</v>
      </c>
      <c r="N126" s="175">
        <f t="shared" si="47"/>
        <v>1757790.4833522062</v>
      </c>
      <c r="O126" s="175">
        <f t="shared" si="47"/>
        <v>1839961.8393133124</v>
      </c>
      <c r="P126" s="175">
        <f t="shared" si="47"/>
        <v>1895685.1269028101</v>
      </c>
      <c r="Q126" s="175">
        <f t="shared" si="47"/>
        <v>1867145.7290243721</v>
      </c>
      <c r="R126" s="175">
        <f t="shared" si="47"/>
        <v>1861507.9156718829</v>
      </c>
      <c r="S126" s="175"/>
      <c r="T126" s="175">
        <f>+T102+T113+T122</f>
        <v>21569901.406361789</v>
      </c>
      <c r="U126" s="175"/>
      <c r="V126" s="175"/>
      <c r="W126" s="175"/>
      <c r="X126" s="175"/>
      <c r="Y126" s="175"/>
      <c r="Z126" s="175"/>
    </row>
    <row r="127" spans="3:26">
      <c r="C127" s="172"/>
      <c r="D127" s="172"/>
      <c r="E127" s="172"/>
      <c r="F127" s="203" t="s">
        <v>163</v>
      </c>
      <c r="G127" s="204">
        <f>+G126/G93-1</f>
        <v>-3.9562871153689061E-2</v>
      </c>
      <c r="H127" s="204">
        <f t="shared" ref="H127:R127" si="48">+H126/H93-1</f>
        <v>-3.3448897212301709E-2</v>
      </c>
      <c r="I127" s="204">
        <f t="shared" si="48"/>
        <v>-1.5960544211966354E-2</v>
      </c>
      <c r="J127" s="204">
        <f t="shared" si="48"/>
        <v>1.5892913998590164E-2</v>
      </c>
      <c r="K127" s="204">
        <f t="shared" si="48"/>
        <v>2.2018771267679149E-2</v>
      </c>
      <c r="L127" s="204">
        <f t="shared" si="48"/>
        <v>2.2955030366485607E-2</v>
      </c>
      <c r="M127" s="204">
        <f t="shared" si="48"/>
        <v>-1.0381656046301924E-2</v>
      </c>
      <c r="N127" s="204">
        <f t="shared" si="48"/>
        <v>-1.146529134102392E-2</v>
      </c>
      <c r="O127" s="204">
        <f t="shared" si="48"/>
        <v>1.4616951776071474E-2</v>
      </c>
      <c r="P127" s="204">
        <f t="shared" si="48"/>
        <v>-3.4805134297143159E-2</v>
      </c>
      <c r="Q127" s="204">
        <f t="shared" si="48"/>
        <v>-2.3541434310462295E-3</v>
      </c>
      <c r="R127" s="204">
        <f t="shared" si="48"/>
        <v>-1.1339840958114911E-2</v>
      </c>
      <c r="S127" s="204"/>
      <c r="T127" s="204">
        <f>+T126/T93-1</f>
        <v>-7.5018946545617471E-3</v>
      </c>
      <c r="U127" s="175"/>
      <c r="V127" s="175"/>
      <c r="W127" s="175"/>
      <c r="X127" s="175"/>
      <c r="Y127" s="175"/>
      <c r="Z127" s="175"/>
    </row>
    <row r="128" spans="3:26">
      <c r="C128" s="172"/>
      <c r="D128" s="172"/>
      <c r="E128" s="172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206"/>
      <c r="U128" s="175"/>
      <c r="V128" s="175"/>
      <c r="W128" s="175"/>
      <c r="X128" s="175"/>
      <c r="Y128" s="175"/>
      <c r="Z128" s="175"/>
    </row>
    <row r="129" spans="1:26">
      <c r="C129" s="172"/>
      <c r="D129" s="172"/>
      <c r="E129" s="172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206"/>
      <c r="U129" s="175"/>
      <c r="V129" s="175"/>
      <c r="W129" s="175"/>
      <c r="X129" s="175"/>
      <c r="Y129" s="175"/>
      <c r="Z129" s="175"/>
    </row>
    <row r="130" spans="1:26" ht="15.75" hidden="1" thickBot="1">
      <c r="F130" s="173" t="s">
        <v>190</v>
      </c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3"/>
    </row>
    <row r="131" spans="1:26" hidden="1">
      <c r="G131" s="197" t="s">
        <v>191</v>
      </c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206"/>
      <c r="U131" s="175"/>
      <c r="V131" s="175"/>
      <c r="W131" s="175"/>
      <c r="X131" s="175"/>
      <c r="Y131" s="175"/>
      <c r="Z131" s="175"/>
    </row>
    <row r="132" spans="1:26" hidden="1">
      <c r="F132" s="164" t="s">
        <v>192</v>
      </c>
      <c r="G132" s="237">
        <v>6395.12</v>
      </c>
      <c r="H132" s="237">
        <v>3792.6</v>
      </c>
      <c r="I132" s="237">
        <v>2807.1800000000003</v>
      </c>
      <c r="J132" s="237">
        <v>7116.55</v>
      </c>
      <c r="K132" s="237">
        <v>10054.76</v>
      </c>
      <c r="L132" s="237">
        <v>11553.630000000001</v>
      </c>
      <c r="M132" s="237">
        <v>16175.61</v>
      </c>
      <c r="N132" s="237">
        <v>16839.13</v>
      </c>
      <c r="O132" s="237">
        <v>16268.470000000001</v>
      </c>
      <c r="P132" s="237">
        <v>7582.01</v>
      </c>
      <c r="Q132" s="237">
        <v>3660.47</v>
      </c>
      <c r="R132" s="237">
        <v>7491.57</v>
      </c>
      <c r="S132" s="175"/>
      <c r="T132" s="176">
        <f>SUM(G132:S132)</f>
        <v>109737.1</v>
      </c>
      <c r="U132" s="175"/>
      <c r="V132" s="175"/>
      <c r="W132" s="175"/>
      <c r="X132" s="175"/>
      <c r="Y132" s="175"/>
      <c r="Z132" s="175"/>
    </row>
    <row r="133" spans="1:26" ht="30" hidden="1">
      <c r="A133" s="238" t="s">
        <v>193</v>
      </c>
      <c r="B133" s="238" t="s">
        <v>194</v>
      </c>
      <c r="C133" s="238" t="s">
        <v>195</v>
      </c>
      <c r="D133" s="238" t="s">
        <v>196</v>
      </c>
      <c r="E133" s="238" t="s">
        <v>197</v>
      </c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6"/>
      <c r="U133" s="175"/>
      <c r="V133" s="175"/>
      <c r="W133" s="175"/>
      <c r="X133" s="175"/>
      <c r="Y133" s="175"/>
      <c r="Z133" s="175"/>
    </row>
    <row r="134" spans="1:26" hidden="1">
      <c r="F134" s="165" t="s">
        <v>198</v>
      </c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206"/>
      <c r="U134" s="175"/>
      <c r="V134" s="175"/>
      <c r="W134" s="175"/>
      <c r="X134" s="175"/>
      <c r="Y134" s="175"/>
      <c r="Z134" s="175"/>
    </row>
    <row r="135" spans="1:26" hidden="1">
      <c r="A135" s="172" t="s">
        <v>199</v>
      </c>
      <c r="F135" s="164" t="s">
        <v>200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/>
      <c r="T135" s="176">
        <f t="shared" ref="T135:T145" si="49">SUM(G135:S135)</f>
        <v>0</v>
      </c>
      <c r="U135" s="175"/>
      <c r="V135" s="175"/>
      <c r="W135" s="175"/>
      <c r="X135" s="175"/>
      <c r="Y135" s="175"/>
      <c r="Z135" s="175"/>
    </row>
    <row r="136" spans="1:26" hidden="1">
      <c r="A136" s="182" t="s">
        <v>201</v>
      </c>
      <c r="B136" s="182" t="s">
        <v>202</v>
      </c>
      <c r="C136" s="239" t="s">
        <v>203</v>
      </c>
      <c r="D136" s="239" t="s">
        <v>204</v>
      </c>
      <c r="E136" s="239" t="s">
        <v>205</v>
      </c>
      <c r="F136" s="164" t="s">
        <v>206</v>
      </c>
      <c r="G136" s="181">
        <v>3820.02</v>
      </c>
      <c r="H136" s="181">
        <v>3074.2200000000003</v>
      </c>
      <c r="I136" s="181">
        <v>3246.93</v>
      </c>
      <c r="J136" s="181">
        <v>3007.9799999999996</v>
      </c>
      <c r="K136" s="181">
        <v>3002.8599999999997</v>
      </c>
      <c r="L136" s="181">
        <v>3377.7099999999996</v>
      </c>
      <c r="M136" s="181">
        <v>3461.5299999999993</v>
      </c>
      <c r="N136" s="181">
        <v>3214.25</v>
      </c>
      <c r="O136" s="181">
        <v>3562.8500000000004</v>
      </c>
      <c r="P136" s="181">
        <v>3528.9900000000002</v>
      </c>
      <c r="Q136" s="181">
        <v>3466.81</v>
      </c>
      <c r="R136" s="181">
        <v>4052.9599999999991</v>
      </c>
      <c r="S136" s="175"/>
      <c r="T136" s="176">
        <f t="shared" si="49"/>
        <v>40817.109999999993</v>
      </c>
      <c r="U136" s="175"/>
      <c r="V136" s="175"/>
      <c r="W136" s="175"/>
      <c r="X136" s="175"/>
      <c r="Y136" s="175"/>
      <c r="Z136" s="175"/>
    </row>
    <row r="137" spans="1:26" hidden="1">
      <c r="A137" s="182" t="s">
        <v>205</v>
      </c>
      <c r="B137" s="182" t="s">
        <v>204</v>
      </c>
      <c r="C137" s="239"/>
      <c r="D137" s="239"/>
      <c r="E137" s="239"/>
      <c r="F137" s="164" t="s">
        <v>207</v>
      </c>
      <c r="G137" s="181">
        <v>2416.33</v>
      </c>
      <c r="H137" s="181">
        <v>1873.72</v>
      </c>
      <c r="I137" s="181">
        <v>2197.86</v>
      </c>
      <c r="J137" s="181">
        <v>2284.8999999999996</v>
      </c>
      <c r="K137" s="181">
        <v>2219.5</v>
      </c>
      <c r="L137" s="181">
        <v>2391.0899999999997</v>
      </c>
      <c r="M137" s="181">
        <v>2446.9999999999995</v>
      </c>
      <c r="N137" s="181">
        <v>2218.7999999999997</v>
      </c>
      <c r="O137" s="181">
        <v>2479.6500000000005</v>
      </c>
      <c r="P137" s="181">
        <v>2370.59</v>
      </c>
      <c r="Q137" s="181">
        <v>2350.87</v>
      </c>
      <c r="R137" s="181">
        <v>2825.4399999999996</v>
      </c>
      <c r="S137" s="175"/>
      <c r="T137" s="176">
        <f t="shared" si="49"/>
        <v>28075.75</v>
      </c>
      <c r="U137" s="175"/>
      <c r="V137" s="175"/>
      <c r="W137" s="175"/>
      <c r="X137" s="175"/>
      <c r="Y137" s="175"/>
      <c r="Z137" s="175"/>
    </row>
    <row r="138" spans="1:26" hidden="1">
      <c r="A138" s="182" t="s">
        <v>208</v>
      </c>
      <c r="B138" s="182"/>
      <c r="C138" s="239"/>
      <c r="D138" s="239"/>
      <c r="E138" s="239"/>
      <c r="F138" s="164" t="s">
        <v>209</v>
      </c>
      <c r="G138" s="181">
        <v>0</v>
      </c>
      <c r="H138" s="181">
        <v>0</v>
      </c>
      <c r="I138" s="181">
        <v>0</v>
      </c>
      <c r="J138" s="181">
        <v>0</v>
      </c>
      <c r="K138" s="181">
        <v>0</v>
      </c>
      <c r="L138" s="181">
        <v>0</v>
      </c>
      <c r="M138" s="181">
        <v>0</v>
      </c>
      <c r="N138" s="181">
        <v>0</v>
      </c>
      <c r="O138" s="181">
        <v>0</v>
      </c>
      <c r="P138" s="181">
        <v>0</v>
      </c>
      <c r="Q138" s="181">
        <v>0</v>
      </c>
      <c r="R138" s="181">
        <v>0</v>
      </c>
      <c r="S138" s="175"/>
      <c r="T138" s="176">
        <f t="shared" si="49"/>
        <v>0</v>
      </c>
      <c r="U138" s="175"/>
      <c r="V138" s="175"/>
      <c r="W138" s="175"/>
      <c r="X138" s="175"/>
      <c r="Y138" s="175"/>
      <c r="Z138" s="175"/>
    </row>
    <row r="139" spans="1:26" hidden="1">
      <c r="A139" s="182" t="s">
        <v>210</v>
      </c>
      <c r="B139" s="182" t="s">
        <v>211</v>
      </c>
      <c r="C139" s="239"/>
      <c r="D139" s="239"/>
      <c r="E139" s="239"/>
      <c r="F139" s="164" t="s">
        <v>212</v>
      </c>
      <c r="G139" s="181">
        <v>0</v>
      </c>
      <c r="H139" s="181">
        <v>0</v>
      </c>
      <c r="I139" s="181">
        <v>0</v>
      </c>
      <c r="J139" s="181">
        <v>0</v>
      </c>
      <c r="K139" s="181">
        <v>0</v>
      </c>
      <c r="L139" s="181">
        <v>0</v>
      </c>
      <c r="M139" s="181">
        <v>0</v>
      </c>
      <c r="N139" s="181">
        <v>0</v>
      </c>
      <c r="O139" s="181">
        <v>0</v>
      </c>
      <c r="P139" s="181">
        <v>0</v>
      </c>
      <c r="Q139" s="181">
        <v>0</v>
      </c>
      <c r="R139" s="181">
        <v>0</v>
      </c>
      <c r="S139" s="175"/>
      <c r="T139" s="176">
        <f t="shared" si="49"/>
        <v>0</v>
      </c>
      <c r="U139" s="175"/>
      <c r="V139" s="175"/>
      <c r="W139" s="175"/>
      <c r="X139" s="175"/>
      <c r="Y139" s="175"/>
      <c r="Z139" s="175"/>
    </row>
    <row r="140" spans="1:26" hidden="1">
      <c r="A140" s="182" t="s">
        <v>202</v>
      </c>
      <c r="B140" s="182" t="s">
        <v>213</v>
      </c>
      <c r="C140" s="239"/>
      <c r="D140" s="239"/>
      <c r="E140" s="239"/>
      <c r="F140" s="164" t="s">
        <v>214</v>
      </c>
      <c r="G140" s="181">
        <v>92.570000000000007</v>
      </c>
      <c r="H140" s="181">
        <v>79.94</v>
      </c>
      <c r="I140" s="181">
        <v>46.69</v>
      </c>
      <c r="J140" s="181">
        <v>19.850000000000001</v>
      </c>
      <c r="K140" s="181">
        <v>21.839999999999996</v>
      </c>
      <c r="L140" s="181">
        <v>27.33</v>
      </c>
      <c r="M140" s="181">
        <v>55.230000000000004</v>
      </c>
      <c r="N140" s="181">
        <v>44.120000000000005</v>
      </c>
      <c r="O140" s="181">
        <v>53.35</v>
      </c>
      <c r="P140" s="181">
        <v>72.09</v>
      </c>
      <c r="Q140" s="181">
        <v>71.47</v>
      </c>
      <c r="R140" s="181">
        <v>77.540000000000006</v>
      </c>
      <c r="S140" s="175"/>
      <c r="T140" s="176">
        <f t="shared" si="49"/>
        <v>662.02</v>
      </c>
      <c r="U140" s="175"/>
      <c r="V140" s="175"/>
      <c r="W140" s="175"/>
      <c r="X140" s="175"/>
      <c r="Y140" s="175"/>
      <c r="Z140" s="175"/>
    </row>
    <row r="141" spans="1:26" hidden="1">
      <c r="A141" s="182" t="s">
        <v>215</v>
      </c>
      <c r="B141" s="182" t="s">
        <v>216</v>
      </c>
      <c r="C141" s="239" t="s">
        <v>217</v>
      </c>
      <c r="D141" s="239"/>
      <c r="E141" s="239"/>
      <c r="F141" s="164" t="s">
        <v>218</v>
      </c>
      <c r="G141" s="181">
        <v>42.379999999999995</v>
      </c>
      <c r="H141" s="181">
        <v>12.44</v>
      </c>
      <c r="I141" s="181">
        <v>51.69</v>
      </c>
      <c r="J141" s="181">
        <v>65.41</v>
      </c>
      <c r="K141" s="181">
        <v>26.87</v>
      </c>
      <c r="L141" s="181">
        <v>22.880000000000003</v>
      </c>
      <c r="M141" s="181">
        <v>41.67</v>
      </c>
      <c r="N141" s="181">
        <v>0</v>
      </c>
      <c r="O141" s="181">
        <v>10.27</v>
      </c>
      <c r="P141" s="181">
        <v>35.54</v>
      </c>
      <c r="Q141" s="181">
        <v>89.81</v>
      </c>
      <c r="R141" s="181">
        <v>41.61</v>
      </c>
      <c r="S141" s="175"/>
      <c r="T141" s="176">
        <f t="shared" si="49"/>
        <v>440.57</v>
      </c>
      <c r="U141" s="175"/>
      <c r="V141" s="175"/>
      <c r="W141" s="175"/>
      <c r="X141" s="175"/>
      <c r="Y141" s="175"/>
      <c r="Z141" s="175"/>
    </row>
    <row r="142" spans="1:26" hidden="1">
      <c r="A142" s="182" t="s">
        <v>219</v>
      </c>
      <c r="B142" s="182"/>
      <c r="C142" s="239"/>
      <c r="D142" s="239"/>
      <c r="E142" s="239"/>
      <c r="F142" s="164" t="s">
        <v>220</v>
      </c>
      <c r="G142" s="181">
        <v>0</v>
      </c>
      <c r="H142" s="181">
        <v>0</v>
      </c>
      <c r="I142" s="181">
        <v>0</v>
      </c>
      <c r="J142" s="181">
        <v>0</v>
      </c>
      <c r="K142" s="181">
        <v>0</v>
      </c>
      <c r="L142" s="181">
        <v>0</v>
      </c>
      <c r="M142" s="181">
        <v>0</v>
      </c>
      <c r="N142" s="181">
        <v>0</v>
      </c>
      <c r="O142" s="181">
        <v>0</v>
      </c>
      <c r="P142" s="181">
        <v>0</v>
      </c>
      <c r="Q142" s="181">
        <v>0</v>
      </c>
      <c r="R142" s="181">
        <v>0</v>
      </c>
      <c r="S142" s="175"/>
      <c r="T142" s="176">
        <f t="shared" si="49"/>
        <v>0</v>
      </c>
      <c r="U142" s="175"/>
      <c r="V142" s="227"/>
      <c r="W142" s="175"/>
      <c r="X142" s="175"/>
      <c r="Y142" s="175"/>
      <c r="Z142" s="175"/>
    </row>
    <row r="143" spans="1:26" hidden="1">
      <c r="A143" s="182" t="s">
        <v>221</v>
      </c>
      <c r="B143" s="182"/>
      <c r="C143" s="239"/>
      <c r="D143" s="239"/>
      <c r="E143" s="239"/>
      <c r="F143" s="164" t="s">
        <v>222</v>
      </c>
      <c r="G143" s="181">
        <v>0</v>
      </c>
      <c r="H143" s="181">
        <v>0</v>
      </c>
      <c r="I143" s="181">
        <v>0</v>
      </c>
      <c r="J143" s="181">
        <v>0</v>
      </c>
      <c r="K143" s="181">
        <v>0</v>
      </c>
      <c r="L143" s="181">
        <v>0</v>
      </c>
      <c r="M143" s="181">
        <v>0</v>
      </c>
      <c r="N143" s="181">
        <v>0</v>
      </c>
      <c r="O143" s="181">
        <v>0</v>
      </c>
      <c r="P143" s="181">
        <v>0</v>
      </c>
      <c r="Q143" s="181">
        <v>0</v>
      </c>
      <c r="R143" s="181">
        <v>0</v>
      </c>
      <c r="S143" s="175"/>
      <c r="T143" s="176"/>
      <c r="U143" s="175"/>
      <c r="V143" s="227"/>
      <c r="W143" s="175"/>
      <c r="X143" s="175"/>
      <c r="Y143" s="175"/>
      <c r="Z143" s="175"/>
    </row>
    <row r="144" spans="1:26" hidden="1">
      <c r="A144" s="182" t="s">
        <v>223</v>
      </c>
      <c r="B144" s="182"/>
      <c r="C144" s="239"/>
      <c r="D144" s="239"/>
      <c r="E144" s="239"/>
      <c r="F144" s="164" t="s">
        <v>224</v>
      </c>
      <c r="G144" s="181">
        <v>0</v>
      </c>
      <c r="H144" s="181">
        <v>0</v>
      </c>
      <c r="I144" s="181">
        <v>0</v>
      </c>
      <c r="J144" s="181">
        <v>0</v>
      </c>
      <c r="K144" s="181">
        <v>0</v>
      </c>
      <c r="L144" s="181">
        <v>0</v>
      </c>
      <c r="M144" s="181">
        <v>0</v>
      </c>
      <c r="N144" s="181">
        <v>0</v>
      </c>
      <c r="O144" s="181">
        <v>0</v>
      </c>
      <c r="P144" s="181">
        <v>0</v>
      </c>
      <c r="Q144" s="181">
        <v>0</v>
      </c>
      <c r="R144" s="181">
        <v>0</v>
      </c>
      <c r="S144" s="175"/>
      <c r="T144" s="176">
        <f t="shared" si="49"/>
        <v>0</v>
      </c>
      <c r="U144" s="175"/>
      <c r="V144" s="175"/>
      <c r="W144" s="175"/>
      <c r="X144" s="175"/>
      <c r="Y144" s="175"/>
      <c r="Z144" s="175"/>
    </row>
    <row r="145" spans="6:26" hidden="1">
      <c r="G145" s="201">
        <f>SUM(G135:G144)</f>
        <v>6371.3</v>
      </c>
      <c r="H145" s="201">
        <f t="shared" ref="H145:R145" si="50">SUM(H135:H144)</f>
        <v>5040.32</v>
      </c>
      <c r="I145" s="201">
        <f t="shared" si="50"/>
        <v>5543.1699999999992</v>
      </c>
      <c r="J145" s="201">
        <f t="shared" si="50"/>
        <v>5378.1399999999994</v>
      </c>
      <c r="K145" s="201">
        <f t="shared" si="50"/>
        <v>5271.07</v>
      </c>
      <c r="L145" s="201">
        <f t="shared" si="50"/>
        <v>5819.0099999999993</v>
      </c>
      <c r="M145" s="201">
        <f t="shared" si="50"/>
        <v>6005.4299999999985</v>
      </c>
      <c r="N145" s="201">
        <f t="shared" si="50"/>
        <v>5477.1699999999992</v>
      </c>
      <c r="O145" s="201">
        <f t="shared" si="50"/>
        <v>6106.1200000000017</v>
      </c>
      <c r="P145" s="201">
        <f t="shared" si="50"/>
        <v>6007.21</v>
      </c>
      <c r="Q145" s="201">
        <f t="shared" si="50"/>
        <v>5978.9600000000009</v>
      </c>
      <c r="R145" s="201">
        <f t="shared" si="50"/>
        <v>6997.5499999999984</v>
      </c>
      <c r="S145" s="201"/>
      <c r="T145" s="240">
        <f t="shared" si="49"/>
        <v>69995.45</v>
      </c>
      <c r="U145" s="175"/>
      <c r="V145" s="175"/>
      <c r="W145" s="175"/>
      <c r="X145" s="175"/>
      <c r="Y145" s="175"/>
      <c r="Z145" s="175"/>
    </row>
    <row r="146" spans="6:26" hidden="1"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206"/>
      <c r="U146" s="175"/>
      <c r="V146" s="175"/>
      <c r="W146" s="175"/>
      <c r="X146" s="175"/>
      <c r="Y146" s="175"/>
      <c r="Z146" s="175"/>
    </row>
    <row r="147" spans="6:26" hidden="1">
      <c r="F147" s="165" t="s">
        <v>111</v>
      </c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206"/>
      <c r="U147" s="175"/>
      <c r="V147" s="175"/>
      <c r="W147" s="175"/>
      <c r="X147" s="175"/>
      <c r="Y147" s="175"/>
      <c r="Z147" s="175"/>
    </row>
    <row r="148" spans="6:26" hidden="1">
      <c r="F148" s="164" t="str">
        <f>+F136</f>
        <v>Rabanco MRF - Commercial</v>
      </c>
      <c r="G148" s="229">
        <v>69.489999999999995</v>
      </c>
      <c r="H148" s="230">
        <f>+G148</f>
        <v>69.489999999999995</v>
      </c>
      <c r="I148" s="230">
        <f t="shared" ref="I148:P148" si="51">+H148</f>
        <v>69.489999999999995</v>
      </c>
      <c r="J148" s="230">
        <f t="shared" si="51"/>
        <v>69.489999999999995</v>
      </c>
      <c r="K148" s="230">
        <f t="shared" si="51"/>
        <v>69.489999999999995</v>
      </c>
      <c r="L148" s="230">
        <f t="shared" si="51"/>
        <v>69.489999999999995</v>
      </c>
      <c r="M148" s="230">
        <f t="shared" si="51"/>
        <v>69.489999999999995</v>
      </c>
      <c r="N148" s="230">
        <f t="shared" si="51"/>
        <v>69.489999999999995</v>
      </c>
      <c r="O148" s="230">
        <f t="shared" si="51"/>
        <v>69.489999999999995</v>
      </c>
      <c r="P148" s="230">
        <f t="shared" si="51"/>
        <v>69.489999999999995</v>
      </c>
      <c r="Q148" s="230">
        <v>70.62</v>
      </c>
      <c r="R148" s="241">
        <v>70.62</v>
      </c>
      <c r="S148" s="175"/>
      <c r="T148" s="206"/>
      <c r="U148" s="175"/>
      <c r="V148" s="175"/>
      <c r="W148" s="175"/>
      <c r="X148" s="175"/>
      <c r="Y148" s="175"/>
      <c r="Z148" s="175"/>
    </row>
    <row r="149" spans="6:26" hidden="1">
      <c r="F149" s="164" t="str">
        <f>+F135</f>
        <v>Rabanco MRF - Mixed Comm</v>
      </c>
      <c r="G149" s="229">
        <v>69.489999999999995</v>
      </c>
      <c r="H149" s="230">
        <f t="shared" ref="H149:R154" si="52">+G149</f>
        <v>69.489999999999995</v>
      </c>
      <c r="I149" s="230">
        <f t="shared" si="52"/>
        <v>69.489999999999995</v>
      </c>
      <c r="J149" s="230">
        <f t="shared" si="52"/>
        <v>69.489999999999995</v>
      </c>
      <c r="K149" s="230">
        <f t="shared" si="52"/>
        <v>69.489999999999995</v>
      </c>
      <c r="L149" s="230">
        <f t="shared" si="52"/>
        <v>69.489999999999995</v>
      </c>
      <c r="M149" s="230">
        <f t="shared" si="52"/>
        <v>69.489999999999995</v>
      </c>
      <c r="N149" s="230">
        <f t="shared" si="52"/>
        <v>69.489999999999995</v>
      </c>
      <c r="O149" s="230">
        <f t="shared" si="52"/>
        <v>69.489999999999995</v>
      </c>
      <c r="P149" s="230">
        <f t="shared" si="52"/>
        <v>69.489999999999995</v>
      </c>
      <c r="Q149" s="230">
        <v>70.62</v>
      </c>
      <c r="R149" s="241">
        <v>70.62</v>
      </c>
      <c r="S149" s="175"/>
      <c r="T149" s="206"/>
      <c r="U149" s="175"/>
      <c r="V149" s="175"/>
      <c r="W149" s="175"/>
      <c r="X149" s="175"/>
      <c r="Y149" s="175"/>
      <c r="Z149" s="175"/>
    </row>
    <row r="150" spans="6:26" hidden="1">
      <c r="F150" s="164" t="str">
        <f>+F137</f>
        <v>Rabanco MRF - Resi / MF</v>
      </c>
      <c r="G150" s="229">
        <v>69.489999999999995</v>
      </c>
      <c r="H150" s="230">
        <f t="shared" si="52"/>
        <v>69.489999999999995</v>
      </c>
      <c r="I150" s="230">
        <f t="shared" si="52"/>
        <v>69.489999999999995</v>
      </c>
      <c r="J150" s="230">
        <f t="shared" si="52"/>
        <v>69.489999999999995</v>
      </c>
      <c r="K150" s="230">
        <f t="shared" si="52"/>
        <v>69.489999999999995</v>
      </c>
      <c r="L150" s="230">
        <f t="shared" si="52"/>
        <v>69.489999999999995</v>
      </c>
      <c r="M150" s="230">
        <f t="shared" si="52"/>
        <v>69.489999999999995</v>
      </c>
      <c r="N150" s="230">
        <f t="shared" si="52"/>
        <v>69.489999999999995</v>
      </c>
      <c r="O150" s="230">
        <f t="shared" si="52"/>
        <v>69.489999999999995</v>
      </c>
      <c r="P150" s="230">
        <f t="shared" si="52"/>
        <v>69.489999999999995</v>
      </c>
      <c r="Q150" s="230">
        <v>70.62</v>
      </c>
      <c r="R150" s="230">
        <f>R148</f>
        <v>70.62</v>
      </c>
      <c r="S150" s="175"/>
      <c r="T150" s="206"/>
      <c r="U150" s="175"/>
      <c r="V150" s="175"/>
      <c r="W150" s="175"/>
      <c r="X150" s="175"/>
      <c r="Y150" s="175"/>
      <c r="Z150" s="175"/>
    </row>
    <row r="151" spans="6:26" hidden="1">
      <c r="F151" s="164" t="str">
        <f>+F138</f>
        <v>3rd &amp; Lander - MSW</v>
      </c>
      <c r="G151" s="229"/>
      <c r="H151" s="230">
        <f t="shared" si="52"/>
        <v>0</v>
      </c>
      <c r="I151" s="230">
        <f t="shared" si="52"/>
        <v>0</v>
      </c>
      <c r="J151" s="230">
        <f t="shared" si="52"/>
        <v>0</v>
      </c>
      <c r="K151" s="230">
        <f t="shared" si="52"/>
        <v>0</v>
      </c>
      <c r="L151" s="230">
        <f t="shared" si="52"/>
        <v>0</v>
      </c>
      <c r="M151" s="230">
        <f t="shared" si="52"/>
        <v>0</v>
      </c>
      <c r="N151" s="230">
        <f t="shared" si="52"/>
        <v>0</v>
      </c>
      <c r="O151" s="230">
        <f t="shared" si="52"/>
        <v>0</v>
      </c>
      <c r="P151" s="230">
        <f t="shared" si="52"/>
        <v>0</v>
      </c>
      <c r="Q151" s="230">
        <f t="shared" si="52"/>
        <v>0</v>
      </c>
      <c r="R151" s="230">
        <f t="shared" si="52"/>
        <v>0</v>
      </c>
      <c r="S151" s="175"/>
      <c r="T151" s="206"/>
      <c r="U151" s="175"/>
      <c r="V151" s="175"/>
      <c r="W151" s="175"/>
      <c r="Y151" s="175"/>
    </row>
    <row r="152" spans="6:26" hidden="1">
      <c r="F152" s="164" t="str">
        <f>+F139</f>
        <v>3rd &amp; Lander - Yardwaste</v>
      </c>
      <c r="G152" s="229">
        <v>63.03</v>
      </c>
      <c r="H152" s="230">
        <v>63.03</v>
      </c>
      <c r="I152" s="230">
        <f t="shared" si="52"/>
        <v>63.03</v>
      </c>
      <c r="J152" s="230">
        <v>66.180000000000007</v>
      </c>
      <c r="K152" s="230">
        <f t="shared" si="52"/>
        <v>66.180000000000007</v>
      </c>
      <c r="L152" s="230">
        <f t="shared" si="52"/>
        <v>66.180000000000007</v>
      </c>
      <c r="M152" s="230"/>
      <c r="N152" s="230"/>
      <c r="O152" s="230"/>
      <c r="P152" s="230"/>
      <c r="Q152" s="230">
        <v>0</v>
      </c>
      <c r="R152" s="230">
        <f t="shared" si="52"/>
        <v>0</v>
      </c>
      <c r="S152" s="175"/>
      <c r="T152" s="206"/>
      <c r="U152" s="175"/>
      <c r="V152" s="175"/>
      <c r="W152" s="175"/>
      <c r="X152" s="175"/>
      <c r="Y152" s="175"/>
      <c r="Z152" s="175"/>
    </row>
    <row r="153" spans="6:26" hidden="1">
      <c r="F153" s="164" t="s">
        <v>225</v>
      </c>
      <c r="G153" s="229">
        <v>0</v>
      </c>
      <c r="H153" s="230">
        <f t="shared" si="52"/>
        <v>0</v>
      </c>
      <c r="I153" s="230">
        <f t="shared" si="52"/>
        <v>0</v>
      </c>
      <c r="J153" s="230">
        <f t="shared" si="52"/>
        <v>0</v>
      </c>
      <c r="K153" s="230">
        <f t="shared" si="52"/>
        <v>0</v>
      </c>
      <c r="L153" s="230">
        <f t="shared" si="52"/>
        <v>0</v>
      </c>
      <c r="M153" s="230">
        <f t="shared" si="52"/>
        <v>0</v>
      </c>
      <c r="N153" s="230">
        <f t="shared" si="52"/>
        <v>0</v>
      </c>
      <c r="O153" s="230">
        <f t="shared" si="52"/>
        <v>0</v>
      </c>
      <c r="P153" s="230">
        <f t="shared" si="52"/>
        <v>0</v>
      </c>
      <c r="Q153" s="230">
        <f t="shared" si="52"/>
        <v>0</v>
      </c>
      <c r="R153" s="230">
        <f t="shared" si="52"/>
        <v>0</v>
      </c>
      <c r="S153" s="175"/>
      <c r="T153" s="206"/>
      <c r="U153" s="175"/>
      <c r="V153" s="175"/>
      <c r="W153" s="175"/>
      <c r="X153" s="175"/>
      <c r="Y153" s="175"/>
      <c r="Z153" s="175"/>
    </row>
    <row r="154" spans="6:26" hidden="1">
      <c r="F154" s="164" t="s">
        <v>224</v>
      </c>
      <c r="G154" s="229">
        <v>43</v>
      </c>
      <c r="H154" s="230">
        <f t="shared" si="52"/>
        <v>43</v>
      </c>
      <c r="I154" s="230">
        <f t="shared" si="52"/>
        <v>43</v>
      </c>
      <c r="J154" s="230">
        <f t="shared" si="52"/>
        <v>43</v>
      </c>
      <c r="K154" s="230">
        <f t="shared" si="52"/>
        <v>43</v>
      </c>
      <c r="L154" s="230">
        <f t="shared" si="52"/>
        <v>43</v>
      </c>
      <c r="M154" s="230">
        <f t="shared" si="52"/>
        <v>43</v>
      </c>
      <c r="N154" s="230">
        <f t="shared" si="52"/>
        <v>43</v>
      </c>
      <c r="O154" s="230">
        <f t="shared" si="52"/>
        <v>43</v>
      </c>
      <c r="P154" s="230">
        <f t="shared" si="52"/>
        <v>43</v>
      </c>
      <c r="Q154" s="232">
        <v>46</v>
      </c>
      <c r="R154" s="241">
        <v>46</v>
      </c>
      <c r="S154" s="175"/>
      <c r="T154" s="206"/>
      <c r="U154" s="175"/>
      <c r="V154" s="175"/>
      <c r="W154" s="175"/>
      <c r="X154" s="175"/>
      <c r="Y154" s="175"/>
      <c r="Z154" s="175"/>
    </row>
    <row r="155" spans="6:26" hidden="1"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175"/>
      <c r="T155" s="206"/>
      <c r="U155" s="175"/>
      <c r="V155" s="175"/>
      <c r="W155" s="175"/>
      <c r="X155" s="175"/>
      <c r="Y155" s="175"/>
      <c r="Z155" s="175"/>
    </row>
    <row r="156" spans="6:26" hidden="1"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206"/>
      <c r="U156" s="175"/>
      <c r="V156" s="175"/>
      <c r="W156" s="175"/>
      <c r="X156" s="175"/>
      <c r="Y156" s="175"/>
      <c r="Z156" s="175"/>
    </row>
    <row r="157" spans="6:26" hidden="1">
      <c r="F157" s="164" t="s">
        <v>226</v>
      </c>
      <c r="G157" s="175">
        <f>SUMPRODUCT(G135:G140,G148:G153)+SUMPRODUCT(G142,G154)</f>
        <v>433363.96149999998</v>
      </c>
      <c r="H157" s="175">
        <f t="shared" ref="H157:R157" si="53">SUMPRODUCT(H135:H140,H148:H153)+SUMPRODUCT(H142,H154)</f>
        <v>343832.35060000001</v>
      </c>
      <c r="I157" s="175">
        <f t="shared" si="53"/>
        <v>378358.4571</v>
      </c>
      <c r="J157" s="175">
        <f t="shared" si="53"/>
        <v>367802.23119999992</v>
      </c>
      <c r="K157" s="175">
        <f t="shared" si="53"/>
        <v>362901.79639999999</v>
      </c>
      <c r="L157" s="175">
        <f t="shared" si="53"/>
        <v>400873.91199999989</v>
      </c>
      <c r="M157" s="175">
        <f t="shared" si="53"/>
        <v>410583.74969999993</v>
      </c>
      <c r="N157" s="175">
        <f t="shared" si="53"/>
        <v>377542.64449999994</v>
      </c>
      <c r="O157" s="175">
        <f t="shared" si="53"/>
        <v>419893.32500000007</v>
      </c>
      <c r="P157" s="175">
        <f t="shared" si="53"/>
        <v>409961.81420000002</v>
      </c>
      <c r="Q157" s="175">
        <f t="shared" si="53"/>
        <v>410844.56160000002</v>
      </c>
      <c r="R157" s="175">
        <f t="shared" si="53"/>
        <v>485752.60800000001</v>
      </c>
      <c r="S157" s="175"/>
      <c r="T157" s="176">
        <f>SUM(G157:S157)</f>
        <v>4801711.4117999999</v>
      </c>
      <c r="U157" s="175"/>
      <c r="V157" s="175"/>
      <c r="W157" s="175"/>
      <c r="X157" s="175"/>
      <c r="Y157" s="175"/>
      <c r="Z157" s="175"/>
    </row>
    <row r="158" spans="6:26" hidden="1">
      <c r="F158" s="164" t="s">
        <v>227</v>
      </c>
      <c r="G158" s="175">
        <f>+G157-G132</f>
        <v>426968.84149999998</v>
      </c>
      <c r="H158" s="175">
        <f t="shared" ref="H158:R158" si="54">+H157-H132</f>
        <v>340039.75060000003</v>
      </c>
      <c r="I158" s="175">
        <f t="shared" si="54"/>
        <v>375551.27710000001</v>
      </c>
      <c r="J158" s="175">
        <f t="shared" si="54"/>
        <v>360685.68119999993</v>
      </c>
      <c r="K158" s="175">
        <f t="shared" si="54"/>
        <v>352847.03639999998</v>
      </c>
      <c r="L158" s="175">
        <f t="shared" si="54"/>
        <v>389320.28199999989</v>
      </c>
      <c r="M158" s="175">
        <f t="shared" si="54"/>
        <v>394408.13969999994</v>
      </c>
      <c r="N158" s="175">
        <f t="shared" si="54"/>
        <v>360703.51449999993</v>
      </c>
      <c r="O158" s="175">
        <f t="shared" si="54"/>
        <v>403624.8550000001</v>
      </c>
      <c r="P158" s="175">
        <f t="shared" si="54"/>
        <v>402379.80420000001</v>
      </c>
      <c r="Q158" s="175">
        <f t="shared" si="54"/>
        <v>407184.09160000004</v>
      </c>
      <c r="R158" s="175">
        <f t="shared" si="54"/>
        <v>478261.038</v>
      </c>
      <c r="S158" s="175"/>
      <c r="T158" s="176">
        <f>SUM(G158:S158)</f>
        <v>4691974.3118000003</v>
      </c>
      <c r="U158" s="175"/>
      <c r="V158" s="175"/>
      <c r="W158" s="175"/>
      <c r="X158" s="175"/>
      <c r="Y158" s="175"/>
      <c r="Z158" s="175"/>
    </row>
    <row r="159" spans="6:26" hidden="1">
      <c r="F159" s="164" t="s">
        <v>228</v>
      </c>
      <c r="G159" s="242">
        <f t="shared" ref="G159:R159" si="55">+G158/G132</f>
        <v>66.764789636472813</v>
      </c>
      <c r="H159" s="242">
        <f t="shared" si="55"/>
        <v>89.658743500500989</v>
      </c>
      <c r="I159" s="242">
        <f t="shared" si="55"/>
        <v>133.78239981048597</v>
      </c>
      <c r="J159" s="242">
        <f t="shared" si="55"/>
        <v>50.68265960331901</v>
      </c>
      <c r="K159" s="242">
        <f t="shared" si="55"/>
        <v>35.092536907892381</v>
      </c>
      <c r="L159" s="242">
        <f t="shared" si="55"/>
        <v>33.696793302191594</v>
      </c>
      <c r="M159" s="242">
        <f t="shared" si="55"/>
        <v>24.382891260360502</v>
      </c>
      <c r="N159" s="242">
        <f t="shared" si="55"/>
        <v>21.420555248400596</v>
      </c>
      <c r="O159" s="242">
        <f t="shared" si="55"/>
        <v>24.810252900242006</v>
      </c>
      <c r="P159" s="242">
        <f t="shared" si="55"/>
        <v>53.070334146222443</v>
      </c>
      <c r="Q159" s="242">
        <f t="shared" si="55"/>
        <v>111.2381993569132</v>
      </c>
      <c r="R159" s="242">
        <f t="shared" si="55"/>
        <v>63.839894441352079</v>
      </c>
      <c r="S159" s="175"/>
      <c r="T159" s="243">
        <f>+T158/T132</f>
        <v>42.756499960359804</v>
      </c>
      <c r="U159" s="175"/>
      <c r="V159" s="175"/>
      <c r="W159" s="175"/>
      <c r="X159" s="175"/>
      <c r="Y159" s="175"/>
      <c r="Z159" s="175"/>
    </row>
    <row r="160" spans="6:26" hidden="1"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206"/>
      <c r="U160" s="175"/>
      <c r="V160" s="175"/>
      <c r="W160" s="175"/>
      <c r="X160" s="175"/>
      <c r="Y160" s="175"/>
      <c r="Z160" s="175"/>
    </row>
    <row r="161" spans="6:26" hidden="1">
      <c r="F161" s="165" t="s">
        <v>229</v>
      </c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206"/>
      <c r="U161" s="175"/>
      <c r="V161" s="175"/>
      <c r="W161" s="175"/>
      <c r="X161" s="175"/>
      <c r="Y161" s="175"/>
      <c r="Z161" s="175"/>
    </row>
    <row r="162" spans="6:26" hidden="1">
      <c r="F162" s="164" t="str">
        <f t="shared" ref="F162:F169" si="56">+F135</f>
        <v>Rabanco MRF - Mixed Comm</v>
      </c>
      <c r="G162" s="175">
        <v>0</v>
      </c>
      <c r="H162" s="175">
        <v>0</v>
      </c>
      <c r="I162" s="175">
        <v>0</v>
      </c>
      <c r="J162" s="175">
        <v>0</v>
      </c>
      <c r="K162" s="175">
        <v>0</v>
      </c>
      <c r="L162" s="175">
        <v>0</v>
      </c>
      <c r="M162" s="175">
        <v>0</v>
      </c>
      <c r="N162" s="175">
        <v>0</v>
      </c>
      <c r="O162" s="175">
        <v>0</v>
      </c>
      <c r="P162" s="175">
        <v>0</v>
      </c>
      <c r="Q162" s="175">
        <v>0</v>
      </c>
      <c r="R162" s="175">
        <v>0</v>
      </c>
      <c r="S162" s="175">
        <v>0</v>
      </c>
      <c r="T162" s="176">
        <v>0</v>
      </c>
      <c r="U162" s="175"/>
      <c r="V162" s="175"/>
      <c r="W162" s="175"/>
      <c r="X162" s="175"/>
      <c r="Y162" s="175"/>
      <c r="Z162" s="175"/>
    </row>
    <row r="163" spans="6:26" hidden="1">
      <c r="F163" s="164" t="str">
        <f t="shared" si="56"/>
        <v>Rabanco MRF - Commercial</v>
      </c>
      <c r="G163" s="175">
        <v>0</v>
      </c>
      <c r="H163" s="175">
        <v>0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0</v>
      </c>
      <c r="S163" s="175">
        <v>0</v>
      </c>
      <c r="T163" s="176">
        <v>0</v>
      </c>
      <c r="U163" s="175"/>
      <c r="V163" s="175"/>
      <c r="W163" s="175"/>
      <c r="X163" s="175"/>
      <c r="Y163" s="175"/>
      <c r="Z163" s="175"/>
    </row>
    <row r="164" spans="6:26" hidden="1">
      <c r="F164" s="164" t="str">
        <f t="shared" si="56"/>
        <v>Rabanco MRF - Resi / MF</v>
      </c>
      <c r="G164" s="175">
        <v>489.19</v>
      </c>
      <c r="H164" s="175">
        <v>361</v>
      </c>
      <c r="I164" s="175">
        <v>365.96999999999997</v>
      </c>
      <c r="J164" s="175">
        <v>470.95</v>
      </c>
      <c r="K164" s="175">
        <v>424.25</v>
      </c>
      <c r="L164" s="175">
        <v>468.54</v>
      </c>
      <c r="M164" s="175">
        <v>458.72</v>
      </c>
      <c r="N164" s="175">
        <v>392.41999999999996</v>
      </c>
      <c r="O164" s="175">
        <v>467.71000000000004</v>
      </c>
      <c r="P164" s="175">
        <v>450.11</v>
      </c>
      <c r="Q164" s="175">
        <v>429.21</v>
      </c>
      <c r="R164" s="175">
        <v>538.54999999999995</v>
      </c>
      <c r="S164" s="175"/>
      <c r="T164" s="176">
        <f>SUM(G164:S164)</f>
        <v>5316.62</v>
      </c>
      <c r="U164" s="175"/>
      <c r="V164" s="175"/>
      <c r="W164" s="175"/>
      <c r="X164" s="175"/>
      <c r="Y164" s="175"/>
      <c r="Z164" s="175"/>
    </row>
    <row r="165" spans="6:26" hidden="1">
      <c r="F165" s="164" t="str">
        <f t="shared" si="56"/>
        <v>3rd &amp; Lander - MSW</v>
      </c>
      <c r="G165" s="175">
        <v>0</v>
      </c>
      <c r="H165" s="175">
        <v>0</v>
      </c>
      <c r="I165" s="175">
        <v>0</v>
      </c>
      <c r="J165" s="175">
        <v>0</v>
      </c>
      <c r="K165" s="175">
        <v>0</v>
      </c>
      <c r="L165" s="175">
        <v>0</v>
      </c>
      <c r="M165" s="175">
        <v>0</v>
      </c>
      <c r="N165" s="175">
        <v>0</v>
      </c>
      <c r="O165" s="175">
        <v>0</v>
      </c>
      <c r="P165" s="175">
        <v>0</v>
      </c>
      <c r="Q165" s="175">
        <v>0</v>
      </c>
      <c r="R165" s="175">
        <v>0</v>
      </c>
      <c r="S165" s="175">
        <v>0</v>
      </c>
      <c r="T165" s="176">
        <v>0</v>
      </c>
      <c r="U165" s="175"/>
      <c r="V165" s="175"/>
      <c r="W165" s="175"/>
      <c r="X165" s="175"/>
      <c r="Y165" s="175"/>
      <c r="Z165" s="175"/>
    </row>
    <row r="166" spans="6:26" hidden="1">
      <c r="F166" s="164" t="str">
        <f t="shared" si="56"/>
        <v>3rd &amp; Lander - Yardwaste</v>
      </c>
      <c r="G166" s="175">
        <v>0</v>
      </c>
      <c r="H166" s="175">
        <v>0</v>
      </c>
      <c r="I166" s="175">
        <v>0</v>
      </c>
      <c r="J166" s="175">
        <v>0</v>
      </c>
      <c r="K166" s="175">
        <v>0</v>
      </c>
      <c r="L166" s="175">
        <v>0</v>
      </c>
      <c r="M166" s="175">
        <v>0</v>
      </c>
      <c r="N166" s="175">
        <v>0</v>
      </c>
      <c r="O166" s="175">
        <v>0</v>
      </c>
      <c r="P166" s="175">
        <v>0</v>
      </c>
      <c r="Q166" s="175">
        <v>0</v>
      </c>
      <c r="R166" s="175">
        <v>0</v>
      </c>
      <c r="S166" s="175">
        <v>0</v>
      </c>
      <c r="T166" s="176">
        <v>0</v>
      </c>
      <c r="U166" s="175"/>
      <c r="V166" s="175"/>
      <c r="W166" s="175"/>
      <c r="X166" s="175"/>
      <c r="Y166" s="175"/>
      <c r="Z166" s="175"/>
    </row>
    <row r="167" spans="6:26" hidden="1">
      <c r="F167" s="164" t="str">
        <f t="shared" si="56"/>
        <v>3rd &amp; Lander - Cardboard</v>
      </c>
      <c r="G167" s="175">
        <v>0</v>
      </c>
      <c r="H167" s="175"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  <c r="S167" s="175">
        <v>0</v>
      </c>
      <c r="T167" s="176">
        <v>0</v>
      </c>
      <c r="U167" s="175"/>
      <c r="V167" s="175"/>
      <c r="W167" s="175"/>
      <c r="X167" s="175"/>
      <c r="Y167" s="175"/>
      <c r="Z167" s="175"/>
    </row>
    <row r="168" spans="6:26" hidden="1">
      <c r="F168" s="164" t="str">
        <f t="shared" si="56"/>
        <v>City Contract Street Sweeping</v>
      </c>
      <c r="G168" s="175">
        <v>0</v>
      </c>
      <c r="H168" s="175">
        <v>0</v>
      </c>
      <c r="I168" s="175">
        <v>0</v>
      </c>
      <c r="J168" s="175">
        <v>0</v>
      </c>
      <c r="K168" s="175">
        <v>0</v>
      </c>
      <c r="L168" s="175">
        <v>0</v>
      </c>
      <c r="M168" s="175">
        <v>0</v>
      </c>
      <c r="N168" s="175">
        <v>0</v>
      </c>
      <c r="O168" s="175">
        <v>0</v>
      </c>
      <c r="P168" s="175">
        <v>0</v>
      </c>
      <c r="Q168" s="175">
        <v>0</v>
      </c>
      <c r="R168" s="175">
        <v>0</v>
      </c>
      <c r="S168" s="175">
        <v>0</v>
      </c>
      <c r="T168" s="176">
        <v>0</v>
      </c>
      <c r="U168" s="175"/>
      <c r="V168" s="175"/>
      <c r="W168" s="175"/>
      <c r="X168" s="175"/>
      <c r="Y168" s="175"/>
      <c r="Z168" s="175"/>
    </row>
    <row r="169" spans="6:26" hidden="1">
      <c r="F169" s="164" t="str">
        <f t="shared" si="56"/>
        <v>King County Transfer</v>
      </c>
      <c r="G169" s="175">
        <v>0</v>
      </c>
      <c r="H169" s="175">
        <v>0</v>
      </c>
      <c r="I169" s="175">
        <v>0</v>
      </c>
      <c r="J169" s="175">
        <v>0</v>
      </c>
      <c r="K169" s="175">
        <v>0</v>
      </c>
      <c r="L169" s="175">
        <v>0</v>
      </c>
      <c r="M169" s="175">
        <v>0</v>
      </c>
      <c r="N169" s="175">
        <v>0</v>
      </c>
      <c r="O169" s="175">
        <v>0</v>
      </c>
      <c r="P169" s="175">
        <v>0</v>
      </c>
      <c r="Q169" s="175">
        <v>0</v>
      </c>
      <c r="R169" s="175">
        <v>0</v>
      </c>
      <c r="S169" s="175"/>
      <c r="T169" s="176">
        <v>0</v>
      </c>
      <c r="U169" s="175"/>
      <c r="V169" s="175"/>
      <c r="W169" s="175"/>
      <c r="X169" s="175"/>
      <c r="Y169" s="175"/>
      <c r="Z169" s="175"/>
    </row>
    <row r="170" spans="6:26" hidden="1">
      <c r="F170" s="164" t="str">
        <f>+F144</f>
        <v>Rabanco Sand Blasting</v>
      </c>
      <c r="G170" s="175">
        <v>0</v>
      </c>
      <c r="H170" s="175">
        <v>0</v>
      </c>
      <c r="I170" s="175">
        <v>0</v>
      </c>
      <c r="J170" s="175">
        <v>0</v>
      </c>
      <c r="K170" s="175">
        <v>0</v>
      </c>
      <c r="L170" s="175">
        <v>0</v>
      </c>
      <c r="M170" s="175">
        <v>0</v>
      </c>
      <c r="N170" s="175">
        <v>0</v>
      </c>
      <c r="O170" s="175">
        <v>0</v>
      </c>
      <c r="P170" s="175">
        <v>0</v>
      </c>
      <c r="Q170" s="175">
        <v>0</v>
      </c>
      <c r="R170" s="175">
        <v>0</v>
      </c>
      <c r="S170" s="175">
        <v>0</v>
      </c>
      <c r="T170" s="176">
        <v>0</v>
      </c>
      <c r="U170" s="175"/>
      <c r="V170" s="175"/>
      <c r="W170" s="175"/>
      <c r="X170" s="175"/>
      <c r="Y170" s="175"/>
      <c r="Z170" s="175"/>
    </row>
    <row r="171" spans="6:26" hidden="1">
      <c r="G171" s="201">
        <f>SUM(G162:G170)</f>
        <v>489.19</v>
      </c>
      <c r="H171" s="201">
        <f t="shared" ref="H171:R171" si="57">SUM(H162:H170)</f>
        <v>361</v>
      </c>
      <c r="I171" s="201">
        <f t="shared" si="57"/>
        <v>365.96999999999997</v>
      </c>
      <c r="J171" s="201">
        <f t="shared" si="57"/>
        <v>470.95</v>
      </c>
      <c r="K171" s="201">
        <f t="shared" si="57"/>
        <v>424.25</v>
      </c>
      <c r="L171" s="201">
        <f t="shared" si="57"/>
        <v>468.54</v>
      </c>
      <c r="M171" s="201">
        <f t="shared" si="57"/>
        <v>458.72</v>
      </c>
      <c r="N171" s="201">
        <f t="shared" si="57"/>
        <v>392.41999999999996</v>
      </c>
      <c r="O171" s="201">
        <f t="shared" si="57"/>
        <v>467.71000000000004</v>
      </c>
      <c r="P171" s="201">
        <f t="shared" si="57"/>
        <v>450.11</v>
      </c>
      <c r="Q171" s="201">
        <f t="shared" si="57"/>
        <v>429.21</v>
      </c>
      <c r="R171" s="201">
        <f t="shared" si="57"/>
        <v>538.54999999999995</v>
      </c>
      <c r="S171" s="201"/>
      <c r="T171" s="240">
        <f>SUM(G171:S171)</f>
        <v>5316.62</v>
      </c>
      <c r="U171" s="175"/>
      <c r="V171" s="175"/>
      <c r="W171" s="175"/>
      <c r="X171" s="175"/>
      <c r="Y171" s="175"/>
      <c r="Z171" s="175"/>
    </row>
    <row r="172" spans="6:26" hidden="1"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206"/>
      <c r="U172" s="175"/>
      <c r="V172" s="175"/>
      <c r="W172" s="175"/>
      <c r="X172" s="175"/>
      <c r="Y172" s="175"/>
      <c r="Z172" s="175"/>
    </row>
    <row r="173" spans="6:26" hidden="1">
      <c r="F173" s="165" t="s">
        <v>230</v>
      </c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206"/>
      <c r="U173" s="175"/>
      <c r="V173" s="175"/>
      <c r="W173" s="175"/>
      <c r="X173" s="175"/>
      <c r="Y173" s="175"/>
      <c r="Z173" s="175"/>
    </row>
    <row r="174" spans="6:26" hidden="1">
      <c r="F174" s="164" t="str">
        <f>+F162</f>
        <v>Rabanco MRF - Mixed Comm</v>
      </c>
      <c r="G174" s="175">
        <f t="shared" ref="G174:R181" si="58">+G135-G162</f>
        <v>0</v>
      </c>
      <c r="H174" s="175">
        <f t="shared" si="58"/>
        <v>0</v>
      </c>
      <c r="I174" s="175">
        <f t="shared" si="58"/>
        <v>0</v>
      </c>
      <c r="J174" s="175">
        <f t="shared" si="58"/>
        <v>0</v>
      </c>
      <c r="K174" s="175">
        <f t="shared" si="58"/>
        <v>0</v>
      </c>
      <c r="L174" s="175">
        <f t="shared" si="58"/>
        <v>0</v>
      </c>
      <c r="M174" s="175">
        <f t="shared" si="58"/>
        <v>0</v>
      </c>
      <c r="N174" s="175">
        <f t="shared" si="58"/>
        <v>0</v>
      </c>
      <c r="O174" s="175">
        <f t="shared" si="58"/>
        <v>0</v>
      </c>
      <c r="P174" s="175">
        <f t="shared" si="58"/>
        <v>0</v>
      </c>
      <c r="Q174" s="175">
        <f t="shared" si="58"/>
        <v>0</v>
      </c>
      <c r="R174" s="175">
        <f t="shared" si="58"/>
        <v>0</v>
      </c>
      <c r="S174" s="175"/>
      <c r="T174" s="176">
        <f>SUM(G174:S174)</f>
        <v>0</v>
      </c>
      <c r="U174" s="175"/>
      <c r="V174" s="175"/>
      <c r="W174" s="175"/>
      <c r="X174" s="175"/>
      <c r="Y174" s="175"/>
      <c r="Z174" s="175"/>
    </row>
    <row r="175" spans="6:26" hidden="1">
      <c r="F175" s="164" t="str">
        <f t="shared" ref="F175:F182" si="59">+F163</f>
        <v>Rabanco MRF - Commercial</v>
      </c>
      <c r="G175" s="175">
        <f t="shared" si="58"/>
        <v>3820.02</v>
      </c>
      <c r="H175" s="175">
        <f t="shared" si="58"/>
        <v>3074.2200000000003</v>
      </c>
      <c r="I175" s="175">
        <f t="shared" si="58"/>
        <v>3246.93</v>
      </c>
      <c r="J175" s="175">
        <f t="shared" si="58"/>
        <v>3007.9799999999996</v>
      </c>
      <c r="K175" s="175">
        <f t="shared" si="58"/>
        <v>3002.8599999999997</v>
      </c>
      <c r="L175" s="175">
        <f t="shared" si="58"/>
        <v>3377.7099999999996</v>
      </c>
      <c r="M175" s="175">
        <f t="shared" si="58"/>
        <v>3461.5299999999993</v>
      </c>
      <c r="N175" s="175">
        <f t="shared" si="58"/>
        <v>3214.25</v>
      </c>
      <c r="O175" s="175">
        <f t="shared" si="58"/>
        <v>3562.8500000000004</v>
      </c>
      <c r="P175" s="175">
        <f t="shared" si="58"/>
        <v>3528.9900000000002</v>
      </c>
      <c r="Q175" s="175">
        <f t="shared" si="58"/>
        <v>3466.81</v>
      </c>
      <c r="R175" s="175">
        <f t="shared" si="58"/>
        <v>4052.9599999999991</v>
      </c>
      <c r="S175" s="175"/>
      <c r="T175" s="176">
        <f t="shared" ref="T175:T183" si="60">SUM(G175:S175)</f>
        <v>40817.109999999993</v>
      </c>
      <c r="U175" s="175"/>
      <c r="V175" s="175"/>
      <c r="W175" s="175"/>
      <c r="X175" s="175"/>
      <c r="Y175" s="175"/>
      <c r="Z175" s="175"/>
    </row>
    <row r="176" spans="6:26" hidden="1">
      <c r="F176" s="164" t="str">
        <f t="shared" si="59"/>
        <v>Rabanco MRF - Resi / MF</v>
      </c>
      <c r="G176" s="175">
        <f t="shared" si="58"/>
        <v>1927.1399999999999</v>
      </c>
      <c r="H176" s="175">
        <f t="shared" si="58"/>
        <v>1512.72</v>
      </c>
      <c r="I176" s="175">
        <f t="shared" si="58"/>
        <v>1831.89</v>
      </c>
      <c r="J176" s="175">
        <f t="shared" si="58"/>
        <v>1813.9499999999996</v>
      </c>
      <c r="K176" s="175">
        <f t="shared" si="58"/>
        <v>1795.25</v>
      </c>
      <c r="L176" s="175">
        <f t="shared" si="58"/>
        <v>1922.5499999999997</v>
      </c>
      <c r="M176" s="175">
        <f t="shared" si="58"/>
        <v>1988.2799999999995</v>
      </c>
      <c r="N176" s="175">
        <f t="shared" si="58"/>
        <v>1826.3799999999997</v>
      </c>
      <c r="O176" s="175">
        <f t="shared" si="58"/>
        <v>2011.9400000000005</v>
      </c>
      <c r="P176" s="175">
        <f t="shared" si="58"/>
        <v>1920.48</v>
      </c>
      <c r="Q176" s="175">
        <f t="shared" si="58"/>
        <v>1921.6599999999999</v>
      </c>
      <c r="R176" s="175">
        <f t="shared" si="58"/>
        <v>2286.8899999999994</v>
      </c>
      <c r="S176" s="175"/>
      <c r="T176" s="176">
        <f t="shared" si="60"/>
        <v>22759.129999999997</v>
      </c>
      <c r="U176" s="175"/>
      <c r="V176" s="175"/>
      <c r="W176" s="175"/>
      <c r="X176" s="175"/>
      <c r="Y176" s="175"/>
      <c r="Z176" s="175"/>
    </row>
    <row r="177" spans="6:26" hidden="1">
      <c r="F177" s="164" t="str">
        <f t="shared" si="59"/>
        <v>3rd &amp; Lander - MSW</v>
      </c>
      <c r="G177" s="175">
        <f t="shared" si="58"/>
        <v>0</v>
      </c>
      <c r="H177" s="175">
        <f t="shared" si="58"/>
        <v>0</v>
      </c>
      <c r="I177" s="175">
        <f t="shared" si="58"/>
        <v>0</v>
      </c>
      <c r="J177" s="175">
        <f t="shared" si="58"/>
        <v>0</v>
      </c>
      <c r="K177" s="175">
        <f t="shared" si="58"/>
        <v>0</v>
      </c>
      <c r="L177" s="175">
        <f t="shared" si="58"/>
        <v>0</v>
      </c>
      <c r="M177" s="175">
        <f t="shared" si="58"/>
        <v>0</v>
      </c>
      <c r="N177" s="175">
        <f t="shared" si="58"/>
        <v>0</v>
      </c>
      <c r="O177" s="175">
        <f t="shared" si="58"/>
        <v>0</v>
      </c>
      <c r="P177" s="175">
        <f t="shared" si="58"/>
        <v>0</v>
      </c>
      <c r="Q177" s="175">
        <f t="shared" si="58"/>
        <v>0</v>
      </c>
      <c r="R177" s="175">
        <f t="shared" si="58"/>
        <v>0</v>
      </c>
      <c r="S177" s="175"/>
      <c r="T177" s="176">
        <f t="shared" si="60"/>
        <v>0</v>
      </c>
      <c r="U177" s="175"/>
      <c r="V177" s="175"/>
      <c r="W177" s="175"/>
      <c r="X177" s="175"/>
      <c r="Y177" s="175"/>
      <c r="Z177" s="175"/>
    </row>
    <row r="178" spans="6:26" hidden="1">
      <c r="F178" s="164" t="str">
        <f t="shared" si="59"/>
        <v>3rd &amp; Lander - Yardwaste</v>
      </c>
      <c r="G178" s="175">
        <f t="shared" si="58"/>
        <v>0</v>
      </c>
      <c r="H178" s="175">
        <f t="shared" si="58"/>
        <v>0</v>
      </c>
      <c r="I178" s="175">
        <f t="shared" si="58"/>
        <v>0</v>
      </c>
      <c r="J178" s="175">
        <f t="shared" si="58"/>
        <v>0</v>
      </c>
      <c r="K178" s="175">
        <f t="shared" si="58"/>
        <v>0</v>
      </c>
      <c r="L178" s="175">
        <f t="shared" si="58"/>
        <v>0</v>
      </c>
      <c r="M178" s="175">
        <f t="shared" si="58"/>
        <v>0</v>
      </c>
      <c r="N178" s="175">
        <f t="shared" si="58"/>
        <v>0</v>
      </c>
      <c r="O178" s="175">
        <f t="shared" si="58"/>
        <v>0</v>
      </c>
      <c r="P178" s="175">
        <f t="shared" si="58"/>
        <v>0</v>
      </c>
      <c r="Q178" s="175">
        <f t="shared" si="58"/>
        <v>0</v>
      </c>
      <c r="R178" s="175">
        <f t="shared" si="58"/>
        <v>0</v>
      </c>
      <c r="S178" s="175"/>
      <c r="T178" s="176">
        <f t="shared" si="60"/>
        <v>0</v>
      </c>
      <c r="U178" s="175"/>
      <c r="V178" s="175"/>
      <c r="W178" s="175"/>
      <c r="X178" s="175"/>
      <c r="Y178" s="175"/>
      <c r="Z178" s="175"/>
    </row>
    <row r="179" spans="6:26" hidden="1">
      <c r="F179" s="164" t="str">
        <f t="shared" si="59"/>
        <v>3rd &amp; Lander - Cardboard</v>
      </c>
      <c r="G179" s="175">
        <f t="shared" si="58"/>
        <v>92.570000000000007</v>
      </c>
      <c r="H179" s="175">
        <f t="shared" si="58"/>
        <v>79.94</v>
      </c>
      <c r="I179" s="175">
        <f t="shared" si="58"/>
        <v>46.69</v>
      </c>
      <c r="J179" s="175">
        <f t="shared" si="58"/>
        <v>19.850000000000001</v>
      </c>
      <c r="K179" s="175">
        <f t="shared" si="58"/>
        <v>21.839999999999996</v>
      </c>
      <c r="L179" s="175">
        <f t="shared" si="58"/>
        <v>27.33</v>
      </c>
      <c r="M179" s="175">
        <f t="shared" si="58"/>
        <v>55.230000000000004</v>
      </c>
      <c r="N179" s="175">
        <f t="shared" si="58"/>
        <v>44.120000000000005</v>
      </c>
      <c r="O179" s="175">
        <f t="shared" si="58"/>
        <v>53.35</v>
      </c>
      <c r="P179" s="175">
        <f t="shared" si="58"/>
        <v>72.09</v>
      </c>
      <c r="Q179" s="175">
        <f t="shared" si="58"/>
        <v>71.47</v>
      </c>
      <c r="R179" s="175">
        <f t="shared" si="58"/>
        <v>77.540000000000006</v>
      </c>
      <c r="S179" s="175"/>
      <c r="T179" s="176">
        <f t="shared" si="60"/>
        <v>662.02</v>
      </c>
      <c r="U179" s="175"/>
      <c r="V179" s="175"/>
      <c r="W179" s="175"/>
      <c r="X179" s="175"/>
      <c r="Y179" s="175"/>
      <c r="Z179" s="175"/>
    </row>
    <row r="180" spans="6:26" hidden="1">
      <c r="F180" s="164" t="str">
        <f t="shared" si="59"/>
        <v>City Contract Street Sweeping</v>
      </c>
      <c r="G180" s="175">
        <f t="shared" si="58"/>
        <v>42.379999999999995</v>
      </c>
      <c r="H180" s="175">
        <f t="shared" si="58"/>
        <v>12.44</v>
      </c>
      <c r="I180" s="175">
        <f t="shared" si="58"/>
        <v>51.69</v>
      </c>
      <c r="J180" s="175">
        <f t="shared" si="58"/>
        <v>65.41</v>
      </c>
      <c r="K180" s="175">
        <f t="shared" si="58"/>
        <v>26.87</v>
      </c>
      <c r="L180" s="175">
        <f t="shared" si="58"/>
        <v>22.880000000000003</v>
      </c>
      <c r="M180" s="175">
        <f t="shared" si="58"/>
        <v>41.67</v>
      </c>
      <c r="N180" s="175">
        <f t="shared" si="58"/>
        <v>0</v>
      </c>
      <c r="O180" s="175">
        <f t="shared" si="58"/>
        <v>10.27</v>
      </c>
      <c r="P180" s="175">
        <f t="shared" si="58"/>
        <v>35.54</v>
      </c>
      <c r="Q180" s="175">
        <f t="shared" si="58"/>
        <v>89.81</v>
      </c>
      <c r="R180" s="175">
        <f t="shared" si="58"/>
        <v>41.61</v>
      </c>
      <c r="S180" s="175"/>
      <c r="T180" s="176">
        <f t="shared" si="60"/>
        <v>440.57</v>
      </c>
      <c r="U180" s="175"/>
      <c r="V180" s="175"/>
      <c r="W180" s="175"/>
      <c r="X180" s="175"/>
      <c r="Y180" s="175"/>
      <c r="Z180" s="175"/>
    </row>
    <row r="181" spans="6:26" hidden="1">
      <c r="F181" s="164" t="str">
        <f t="shared" si="59"/>
        <v>King County Transfer</v>
      </c>
      <c r="G181" s="175">
        <f t="shared" si="58"/>
        <v>0</v>
      </c>
      <c r="H181" s="175">
        <f t="shared" si="58"/>
        <v>0</v>
      </c>
      <c r="I181" s="175">
        <f t="shared" si="58"/>
        <v>0</v>
      </c>
      <c r="J181" s="175">
        <f t="shared" si="58"/>
        <v>0</v>
      </c>
      <c r="K181" s="175">
        <f t="shared" si="58"/>
        <v>0</v>
      </c>
      <c r="L181" s="175">
        <f t="shared" si="58"/>
        <v>0</v>
      </c>
      <c r="M181" s="175">
        <f t="shared" si="58"/>
        <v>0</v>
      </c>
      <c r="N181" s="175">
        <f t="shared" si="58"/>
        <v>0</v>
      </c>
      <c r="O181" s="175">
        <f t="shared" si="58"/>
        <v>0</v>
      </c>
      <c r="P181" s="175">
        <f t="shared" si="58"/>
        <v>0</v>
      </c>
      <c r="Q181" s="175">
        <f t="shared" si="58"/>
        <v>0</v>
      </c>
      <c r="R181" s="175">
        <f t="shared" si="58"/>
        <v>0</v>
      </c>
      <c r="S181" s="175"/>
      <c r="T181" s="176">
        <f>SUM(G181:S181)</f>
        <v>0</v>
      </c>
      <c r="U181" s="175"/>
      <c r="V181" s="175"/>
      <c r="W181" s="175"/>
      <c r="X181" s="175"/>
      <c r="Y181" s="175"/>
      <c r="Z181" s="175"/>
    </row>
    <row r="182" spans="6:26" hidden="1">
      <c r="F182" s="164" t="str">
        <f t="shared" si="59"/>
        <v>Rabanco Sand Blasting</v>
      </c>
      <c r="G182" s="175">
        <f t="shared" ref="G182:R182" si="61">+G144-G170</f>
        <v>0</v>
      </c>
      <c r="H182" s="175">
        <f t="shared" si="61"/>
        <v>0</v>
      </c>
      <c r="I182" s="175">
        <f t="shared" si="61"/>
        <v>0</v>
      </c>
      <c r="J182" s="175">
        <f t="shared" si="61"/>
        <v>0</v>
      </c>
      <c r="K182" s="175">
        <f t="shared" si="61"/>
        <v>0</v>
      </c>
      <c r="L182" s="175">
        <f t="shared" si="61"/>
        <v>0</v>
      </c>
      <c r="M182" s="175">
        <f t="shared" si="61"/>
        <v>0</v>
      </c>
      <c r="N182" s="175">
        <f t="shared" si="61"/>
        <v>0</v>
      </c>
      <c r="O182" s="175">
        <f t="shared" si="61"/>
        <v>0</v>
      </c>
      <c r="P182" s="175">
        <f t="shared" si="61"/>
        <v>0</v>
      </c>
      <c r="Q182" s="175">
        <f t="shared" si="61"/>
        <v>0</v>
      </c>
      <c r="R182" s="175">
        <f t="shared" si="61"/>
        <v>0</v>
      </c>
      <c r="S182" s="175"/>
      <c r="T182" s="176">
        <f t="shared" si="60"/>
        <v>0</v>
      </c>
      <c r="U182" s="175"/>
      <c r="V182" s="175"/>
      <c r="W182" s="175"/>
      <c r="X182" s="175"/>
      <c r="Y182" s="175"/>
      <c r="Z182" s="175"/>
    </row>
    <row r="183" spans="6:26" hidden="1">
      <c r="G183" s="201">
        <f>SUM(G174:G182)</f>
        <v>5882.11</v>
      </c>
      <c r="H183" s="201">
        <f t="shared" ref="H183:R183" si="62">SUM(H174:H182)</f>
        <v>4679.32</v>
      </c>
      <c r="I183" s="201">
        <f t="shared" si="62"/>
        <v>5177.1999999999989</v>
      </c>
      <c r="J183" s="201">
        <f t="shared" si="62"/>
        <v>4907.1899999999996</v>
      </c>
      <c r="K183" s="201">
        <f t="shared" si="62"/>
        <v>4846.82</v>
      </c>
      <c r="L183" s="201">
        <f t="shared" si="62"/>
        <v>5350.4699999999993</v>
      </c>
      <c r="M183" s="201">
        <f t="shared" si="62"/>
        <v>5546.7099999999982</v>
      </c>
      <c r="N183" s="201">
        <f t="shared" si="62"/>
        <v>5084.7499999999991</v>
      </c>
      <c r="O183" s="201">
        <f t="shared" si="62"/>
        <v>5638.4100000000017</v>
      </c>
      <c r="P183" s="201">
        <f t="shared" si="62"/>
        <v>5557.1</v>
      </c>
      <c r="Q183" s="201">
        <f t="shared" si="62"/>
        <v>5549.75</v>
      </c>
      <c r="R183" s="201">
        <f t="shared" si="62"/>
        <v>6458.9999999999982</v>
      </c>
      <c r="S183" s="201"/>
      <c r="T183" s="240">
        <f t="shared" si="60"/>
        <v>64678.83</v>
      </c>
      <c r="U183" s="175"/>
      <c r="V183" s="175"/>
      <c r="W183" s="175"/>
      <c r="X183" s="175"/>
      <c r="Y183" s="175"/>
      <c r="Z183" s="175"/>
    </row>
    <row r="184" spans="6:26"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206"/>
      <c r="U184" s="175"/>
      <c r="V184" s="175"/>
      <c r="W184" s="175"/>
      <c r="X184" s="175"/>
      <c r="Y184" s="175"/>
      <c r="Z184" s="175"/>
    </row>
    <row r="185" spans="6:26"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206"/>
      <c r="U185" s="175"/>
      <c r="V185" s="175"/>
      <c r="W185" s="175"/>
      <c r="X185" s="175"/>
      <c r="Y185" s="175"/>
      <c r="Z185" s="175"/>
    </row>
    <row r="186" spans="6:26"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206"/>
      <c r="U186" s="175"/>
      <c r="V186" s="175"/>
      <c r="W186" s="175"/>
      <c r="X186" s="175"/>
      <c r="Y186" s="175"/>
      <c r="Z186" s="175"/>
    </row>
    <row r="187" spans="6:26"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206"/>
      <c r="U187" s="175"/>
      <c r="V187" s="175"/>
      <c r="W187" s="175"/>
      <c r="X187" s="175"/>
      <c r="Y187" s="175"/>
      <c r="Z187" s="175"/>
    </row>
    <row r="188" spans="6:26"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206"/>
      <c r="U188" s="175"/>
      <c r="V188" s="175"/>
      <c r="W188" s="175"/>
      <c r="X188" s="175"/>
      <c r="Y188" s="175"/>
      <c r="Z188" s="175"/>
    </row>
    <row r="189" spans="6:26"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206"/>
      <c r="U189" s="175"/>
      <c r="V189" s="175"/>
      <c r="W189" s="175"/>
      <c r="X189" s="175"/>
      <c r="Y189" s="175"/>
      <c r="Z189" s="175"/>
    </row>
    <row r="190" spans="6:26"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206"/>
      <c r="U190" s="175"/>
      <c r="V190" s="175"/>
      <c r="W190" s="175"/>
      <c r="X190" s="175"/>
      <c r="Y190" s="175"/>
      <c r="Z190" s="175"/>
    </row>
    <row r="191" spans="6:26"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206"/>
      <c r="U191" s="175"/>
      <c r="V191" s="175"/>
      <c r="W191" s="175"/>
      <c r="X191" s="175"/>
      <c r="Y191" s="175"/>
      <c r="Z191" s="175"/>
    </row>
    <row r="192" spans="6:26"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206"/>
      <c r="U192" s="175"/>
      <c r="V192" s="175"/>
      <c r="W192" s="175"/>
      <c r="X192" s="175"/>
      <c r="Y192" s="175"/>
      <c r="Z192" s="175"/>
    </row>
    <row r="193" spans="7:26"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206"/>
      <c r="U193" s="175"/>
      <c r="V193" s="175"/>
      <c r="W193" s="175"/>
      <c r="X193" s="175"/>
      <c r="Y193" s="175"/>
      <c r="Z193" s="175"/>
    </row>
    <row r="194" spans="7:26"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206"/>
      <c r="U194" s="175"/>
      <c r="V194" s="175"/>
      <c r="W194" s="175"/>
      <c r="X194" s="175"/>
      <c r="Y194" s="175"/>
      <c r="Z194" s="175"/>
    </row>
    <row r="195" spans="7:26"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206"/>
      <c r="U195" s="175"/>
      <c r="V195" s="175"/>
      <c r="W195" s="175"/>
      <c r="X195" s="175"/>
      <c r="Y195" s="175"/>
      <c r="Z195" s="175"/>
    </row>
    <row r="196" spans="7:26"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206"/>
      <c r="U196" s="175"/>
      <c r="V196" s="175"/>
      <c r="W196" s="175"/>
      <c r="X196" s="175"/>
      <c r="Y196" s="175"/>
      <c r="Z196" s="175"/>
    </row>
    <row r="197" spans="7:26"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206"/>
      <c r="U197" s="175"/>
      <c r="V197" s="175"/>
      <c r="W197" s="175"/>
      <c r="X197" s="175"/>
      <c r="Y197" s="175"/>
      <c r="Z197" s="175"/>
    </row>
    <row r="198" spans="7:26"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206"/>
      <c r="U198" s="175"/>
      <c r="V198" s="175"/>
      <c r="W198" s="175"/>
      <c r="X198" s="175"/>
      <c r="Y198" s="175"/>
      <c r="Z198" s="175"/>
    </row>
    <row r="199" spans="7:26"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206"/>
      <c r="U199" s="175"/>
      <c r="V199" s="175"/>
      <c r="W199" s="175"/>
      <c r="X199" s="175"/>
      <c r="Y199" s="175"/>
      <c r="Z199" s="175"/>
    </row>
    <row r="200" spans="7:26"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206"/>
      <c r="U200" s="175"/>
      <c r="V200" s="175"/>
      <c r="W200" s="175"/>
      <c r="X200" s="175"/>
      <c r="Y200" s="175"/>
      <c r="Z200" s="175"/>
    </row>
    <row r="201" spans="7:26"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206"/>
      <c r="U201" s="175"/>
      <c r="V201" s="175"/>
      <c r="W201" s="175"/>
      <c r="X201" s="175"/>
      <c r="Y201" s="175"/>
      <c r="Z201" s="175"/>
    </row>
    <row r="202" spans="7:26"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206"/>
      <c r="U202" s="175"/>
      <c r="V202" s="175"/>
      <c r="W202" s="175"/>
      <c r="X202" s="175"/>
      <c r="Y202" s="175"/>
      <c r="Z202" s="175"/>
    </row>
    <row r="203" spans="7:26"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206"/>
      <c r="U203" s="175"/>
      <c r="V203" s="175"/>
      <c r="W203" s="175"/>
      <c r="X203" s="175"/>
      <c r="Y203" s="175"/>
      <c r="Z203" s="175"/>
    </row>
    <row r="204" spans="7:26"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206"/>
      <c r="U204" s="175"/>
      <c r="V204" s="175"/>
      <c r="W204" s="175"/>
      <c r="X204" s="175"/>
      <c r="Y204" s="175"/>
      <c r="Z204" s="175"/>
    </row>
    <row r="205" spans="7:26"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206"/>
      <c r="U205" s="175"/>
      <c r="V205" s="175"/>
      <c r="W205" s="175"/>
      <c r="X205" s="175"/>
      <c r="Y205" s="175"/>
      <c r="Z205" s="175"/>
    </row>
    <row r="206" spans="7:26"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206"/>
      <c r="U206" s="175"/>
      <c r="V206" s="175"/>
      <c r="W206" s="175"/>
      <c r="X206" s="175"/>
      <c r="Y206" s="175"/>
      <c r="Z206" s="175"/>
    </row>
    <row r="207" spans="7:26"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206"/>
      <c r="U207" s="175"/>
      <c r="V207" s="175"/>
      <c r="W207" s="175"/>
      <c r="X207" s="175"/>
      <c r="Y207" s="175"/>
      <c r="Z207" s="175"/>
    </row>
    <row r="208" spans="7:26"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206"/>
      <c r="U208" s="175"/>
      <c r="V208" s="175"/>
      <c r="W208" s="175"/>
      <c r="X208" s="175"/>
      <c r="Y208" s="175"/>
      <c r="Z208" s="175"/>
    </row>
    <row r="209" spans="7:26"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206"/>
      <c r="U209" s="175"/>
      <c r="V209" s="175"/>
      <c r="W209" s="175"/>
      <c r="X209" s="175"/>
      <c r="Y209" s="175"/>
      <c r="Z209" s="175"/>
    </row>
    <row r="210" spans="7:26"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206"/>
      <c r="U210" s="175"/>
      <c r="V210" s="175"/>
      <c r="W210" s="175"/>
      <c r="X210" s="175"/>
      <c r="Y210" s="175"/>
      <c r="Z210" s="175"/>
    </row>
    <row r="211" spans="7:26"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206"/>
      <c r="U211" s="175"/>
      <c r="V211" s="175"/>
      <c r="W211" s="175"/>
      <c r="X211" s="175"/>
      <c r="Y211" s="175"/>
      <c r="Z211" s="175"/>
    </row>
    <row r="212" spans="7:26"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206"/>
      <c r="U212" s="175"/>
      <c r="V212" s="175"/>
      <c r="W212" s="175"/>
      <c r="X212" s="175"/>
      <c r="Y212" s="175"/>
      <c r="Z212" s="175"/>
    </row>
    <row r="213" spans="7:26"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206"/>
      <c r="U213" s="175"/>
      <c r="V213" s="175"/>
      <c r="W213" s="175"/>
      <c r="X213" s="175"/>
      <c r="Y213" s="175"/>
      <c r="Z213" s="175"/>
    </row>
    <row r="214" spans="7:26"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206"/>
      <c r="U214" s="175"/>
      <c r="V214" s="175"/>
      <c r="W214" s="175"/>
      <c r="X214" s="175"/>
      <c r="Y214" s="175"/>
      <c r="Z214" s="175"/>
    </row>
    <row r="215" spans="7:26"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206"/>
      <c r="U215" s="175"/>
      <c r="V215" s="175"/>
      <c r="W215" s="175"/>
      <c r="X215" s="175"/>
      <c r="Y215" s="175"/>
      <c r="Z215" s="175"/>
    </row>
    <row r="216" spans="7:26"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206"/>
      <c r="U216" s="175"/>
      <c r="V216" s="175"/>
      <c r="W216" s="175"/>
      <c r="X216" s="175"/>
      <c r="Y216" s="175"/>
      <c r="Z216" s="175"/>
    </row>
    <row r="217" spans="7:26"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206"/>
      <c r="U217" s="175"/>
      <c r="V217" s="175"/>
      <c r="W217" s="175"/>
      <c r="X217" s="175"/>
      <c r="Y217" s="175"/>
      <c r="Z217" s="175"/>
    </row>
    <row r="218" spans="7:26"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206"/>
      <c r="U218" s="175"/>
      <c r="V218" s="175"/>
      <c r="W218" s="175"/>
      <c r="X218" s="175"/>
      <c r="Y218" s="175"/>
      <c r="Z218" s="175"/>
    </row>
    <row r="219" spans="7:26"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206"/>
      <c r="U219" s="175"/>
      <c r="V219" s="175"/>
      <c r="W219" s="175"/>
      <c r="X219" s="175"/>
      <c r="Y219" s="175"/>
      <c r="Z219" s="175"/>
    </row>
    <row r="220" spans="7:26"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206"/>
      <c r="U220" s="175"/>
      <c r="V220" s="175"/>
      <c r="W220" s="175"/>
      <c r="X220" s="175"/>
      <c r="Y220" s="175"/>
      <c r="Z220" s="175"/>
    </row>
    <row r="221" spans="7:26"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206"/>
      <c r="U221" s="175"/>
      <c r="V221" s="175"/>
      <c r="W221" s="175"/>
      <c r="X221" s="175"/>
      <c r="Y221" s="175"/>
      <c r="Z221" s="175"/>
    </row>
    <row r="222" spans="7:26"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206"/>
      <c r="U222" s="175"/>
      <c r="V222" s="175"/>
      <c r="W222" s="175"/>
      <c r="X222" s="175"/>
      <c r="Y222" s="175"/>
      <c r="Z222" s="175"/>
    </row>
    <row r="223" spans="7:26"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206"/>
      <c r="U223" s="175"/>
      <c r="V223" s="175"/>
      <c r="W223" s="175"/>
      <c r="X223" s="175"/>
      <c r="Y223" s="175"/>
      <c r="Z223" s="175"/>
    </row>
    <row r="224" spans="7:26"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206"/>
      <c r="U224" s="175"/>
      <c r="V224" s="175"/>
      <c r="W224" s="175"/>
      <c r="X224" s="175"/>
      <c r="Y224" s="175"/>
      <c r="Z224" s="175"/>
    </row>
    <row r="225" spans="7:26"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206"/>
      <c r="U225" s="175"/>
      <c r="V225" s="175"/>
      <c r="W225" s="175"/>
      <c r="X225" s="175"/>
      <c r="Y225" s="175"/>
      <c r="Z225" s="175"/>
    </row>
    <row r="226" spans="7:26"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206"/>
      <c r="U226" s="175"/>
      <c r="V226" s="175"/>
      <c r="W226" s="175"/>
      <c r="X226" s="175"/>
      <c r="Y226" s="175"/>
      <c r="Z226" s="175"/>
    </row>
    <row r="227" spans="7:26"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206"/>
      <c r="U227" s="175"/>
      <c r="V227" s="175"/>
      <c r="W227" s="175"/>
      <c r="X227" s="175"/>
      <c r="Y227" s="175"/>
      <c r="Z227" s="175"/>
    </row>
    <row r="228" spans="7:26"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206"/>
      <c r="U228" s="175"/>
      <c r="V228" s="175"/>
      <c r="W228" s="175"/>
      <c r="X228" s="175"/>
      <c r="Y228" s="175"/>
      <c r="Z228" s="175"/>
    </row>
    <row r="229" spans="7:26"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206"/>
      <c r="U229" s="175"/>
      <c r="V229" s="175"/>
      <c r="W229" s="175"/>
      <c r="X229" s="175"/>
      <c r="Y229" s="175"/>
      <c r="Z229" s="175"/>
    </row>
    <row r="230" spans="7:26"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206"/>
      <c r="U230" s="175"/>
      <c r="V230" s="175"/>
      <c r="W230" s="175"/>
      <c r="X230" s="175"/>
      <c r="Y230" s="175"/>
      <c r="Z230" s="175"/>
    </row>
    <row r="231" spans="7:26"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206"/>
      <c r="U231" s="175"/>
      <c r="V231" s="175"/>
      <c r="W231" s="175"/>
      <c r="X231" s="175"/>
      <c r="Y231" s="175"/>
      <c r="Z231" s="175"/>
    </row>
    <row r="232" spans="7:26"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206"/>
      <c r="U232" s="175"/>
      <c r="V232" s="175"/>
      <c r="W232" s="175"/>
      <c r="X232" s="175"/>
      <c r="Y232" s="175"/>
      <c r="Z232" s="175"/>
    </row>
    <row r="233" spans="7:26"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206"/>
      <c r="U233" s="175"/>
      <c r="V233" s="175"/>
      <c r="W233" s="175"/>
      <c r="X233" s="175"/>
      <c r="Y233" s="175"/>
      <c r="Z233" s="175"/>
    </row>
    <row r="234" spans="7:26"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206"/>
      <c r="U234" s="175"/>
      <c r="V234" s="175"/>
      <c r="W234" s="175"/>
      <c r="X234" s="175"/>
      <c r="Y234" s="175"/>
      <c r="Z234" s="175"/>
    </row>
    <row r="235" spans="7:26"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206"/>
      <c r="U235" s="175"/>
      <c r="V235" s="175"/>
      <c r="W235" s="175"/>
      <c r="X235" s="175"/>
      <c r="Y235" s="175"/>
      <c r="Z235" s="175"/>
    </row>
    <row r="236" spans="7:26"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206"/>
      <c r="U236" s="175"/>
      <c r="V236" s="175"/>
      <c r="W236" s="175"/>
      <c r="X236" s="175"/>
      <c r="Y236" s="175"/>
      <c r="Z236" s="175"/>
    </row>
    <row r="237" spans="7:26"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206"/>
      <c r="U237" s="175"/>
      <c r="V237" s="175"/>
      <c r="W237" s="175"/>
      <c r="X237" s="175"/>
      <c r="Y237" s="175"/>
      <c r="Z237" s="175"/>
    </row>
    <row r="238" spans="7:26"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206"/>
      <c r="U238" s="175"/>
      <c r="V238" s="175"/>
      <c r="W238" s="175"/>
      <c r="X238" s="175"/>
      <c r="Y238" s="175"/>
      <c r="Z238" s="175"/>
    </row>
    <row r="239" spans="7:26"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206"/>
      <c r="U239" s="175"/>
      <c r="V239" s="175"/>
      <c r="W239" s="175"/>
      <c r="X239" s="175"/>
      <c r="Y239" s="175"/>
      <c r="Z239" s="175"/>
    </row>
    <row r="240" spans="7:26"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206"/>
      <c r="U240" s="175"/>
      <c r="V240" s="175"/>
      <c r="W240" s="175"/>
      <c r="X240" s="175"/>
      <c r="Y240" s="175"/>
      <c r="Z240" s="175"/>
    </row>
    <row r="241" spans="7:26"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206"/>
      <c r="U241" s="175"/>
      <c r="V241" s="175"/>
      <c r="W241" s="175"/>
      <c r="X241" s="175"/>
      <c r="Y241" s="175"/>
      <c r="Z241" s="175"/>
    </row>
    <row r="242" spans="7:26"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206"/>
      <c r="U242" s="175"/>
      <c r="V242" s="175"/>
      <c r="W242" s="175"/>
      <c r="X242" s="175"/>
      <c r="Y242" s="175"/>
      <c r="Z242" s="175"/>
    </row>
    <row r="243" spans="7:26"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206"/>
      <c r="U243" s="175"/>
      <c r="V243" s="175"/>
      <c r="W243" s="175"/>
      <c r="X243" s="175"/>
      <c r="Y243" s="175"/>
      <c r="Z243" s="175"/>
    </row>
    <row r="244" spans="7:26"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206"/>
      <c r="U244" s="175"/>
      <c r="V244" s="175"/>
      <c r="W244" s="175"/>
      <c r="X244" s="175"/>
      <c r="Y244" s="175"/>
      <c r="Z244" s="175"/>
    </row>
    <row r="245" spans="7:26"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206"/>
      <c r="U245" s="175"/>
      <c r="V245" s="175"/>
      <c r="W245" s="175"/>
      <c r="X245" s="175"/>
      <c r="Y245" s="175"/>
      <c r="Z245" s="175"/>
    </row>
    <row r="246" spans="7:26"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206"/>
      <c r="U246" s="175"/>
      <c r="V246" s="175"/>
      <c r="W246" s="175"/>
      <c r="X246" s="175"/>
      <c r="Y246" s="175"/>
      <c r="Z246" s="175"/>
    </row>
    <row r="247" spans="7:26"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206"/>
      <c r="U247" s="175"/>
      <c r="V247" s="175"/>
      <c r="W247" s="175"/>
      <c r="X247" s="175"/>
      <c r="Y247" s="175"/>
      <c r="Z247" s="175"/>
    </row>
    <row r="248" spans="7:26"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206"/>
      <c r="U248" s="175"/>
      <c r="V248" s="175"/>
      <c r="W248" s="175"/>
      <c r="X248" s="175"/>
      <c r="Y248" s="175"/>
      <c r="Z248" s="175"/>
    </row>
    <row r="249" spans="7:26"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206"/>
      <c r="U249" s="175"/>
      <c r="V249" s="175"/>
      <c r="W249" s="175"/>
      <c r="X249" s="175"/>
      <c r="Y249" s="175"/>
      <c r="Z249" s="175"/>
    </row>
    <row r="250" spans="7:26"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206"/>
      <c r="U250" s="175"/>
      <c r="V250" s="175"/>
      <c r="W250" s="175"/>
      <c r="X250" s="175"/>
      <c r="Y250" s="175"/>
      <c r="Z250" s="175"/>
    </row>
    <row r="251" spans="7:26"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206"/>
      <c r="U251" s="175"/>
      <c r="V251" s="175"/>
      <c r="W251" s="175"/>
      <c r="X251" s="175"/>
      <c r="Y251" s="175"/>
      <c r="Z251" s="175"/>
    </row>
    <row r="252" spans="7:26"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206"/>
      <c r="U252" s="175"/>
      <c r="V252" s="175"/>
      <c r="W252" s="175"/>
      <c r="X252" s="175"/>
      <c r="Y252" s="175"/>
      <c r="Z252" s="175"/>
    </row>
    <row r="253" spans="7:26"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206"/>
      <c r="U253" s="175"/>
      <c r="V253" s="175"/>
      <c r="W253" s="175"/>
      <c r="X253" s="175"/>
      <c r="Y253" s="175"/>
      <c r="Z253" s="175"/>
    </row>
    <row r="254" spans="7:26"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206"/>
      <c r="U254" s="175"/>
      <c r="V254" s="175"/>
      <c r="W254" s="175"/>
      <c r="X254" s="175"/>
      <c r="Y254" s="175"/>
      <c r="Z254" s="175"/>
    </row>
    <row r="255" spans="7:26"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206"/>
      <c r="U255" s="175"/>
      <c r="V255" s="175"/>
      <c r="W255" s="175"/>
      <c r="X255" s="175"/>
      <c r="Y255" s="175"/>
      <c r="Z255" s="175"/>
    </row>
    <row r="256" spans="7:26"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206"/>
      <c r="U256" s="175"/>
      <c r="V256" s="175"/>
      <c r="W256" s="175"/>
      <c r="X256" s="175"/>
      <c r="Y256" s="175"/>
      <c r="Z256" s="175"/>
    </row>
    <row r="257" spans="7:26"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206"/>
      <c r="U257" s="175"/>
      <c r="V257" s="175"/>
      <c r="W257" s="175"/>
      <c r="X257" s="175"/>
      <c r="Y257" s="175"/>
      <c r="Z257" s="175"/>
    </row>
    <row r="258" spans="7:26"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206"/>
      <c r="U258" s="175"/>
      <c r="V258" s="175"/>
      <c r="W258" s="175"/>
      <c r="X258" s="175"/>
      <c r="Y258" s="175"/>
      <c r="Z258" s="175"/>
    </row>
    <row r="259" spans="7:26"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206"/>
      <c r="U259" s="175"/>
      <c r="V259" s="175"/>
      <c r="W259" s="175"/>
      <c r="X259" s="175"/>
      <c r="Y259" s="175"/>
      <c r="Z259" s="175"/>
    </row>
    <row r="260" spans="7:26"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206"/>
      <c r="U260" s="175"/>
      <c r="V260" s="175"/>
      <c r="W260" s="175"/>
      <c r="X260" s="175"/>
      <c r="Y260" s="175"/>
      <c r="Z260" s="175"/>
    </row>
    <row r="261" spans="7:26"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206"/>
      <c r="U261" s="175"/>
      <c r="V261" s="175"/>
      <c r="W261" s="175"/>
      <c r="X261" s="175"/>
      <c r="Y261" s="175"/>
      <c r="Z261" s="175"/>
    </row>
    <row r="262" spans="7:26"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206"/>
      <c r="U262" s="175"/>
      <c r="V262" s="175"/>
      <c r="W262" s="175"/>
      <c r="X262" s="175"/>
      <c r="Y262" s="175"/>
      <c r="Z262" s="175"/>
    </row>
    <row r="263" spans="7:26"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206"/>
      <c r="U263" s="175"/>
      <c r="V263" s="175"/>
      <c r="W263" s="175"/>
      <c r="X263" s="175"/>
      <c r="Y263" s="175"/>
      <c r="Z263" s="175"/>
    </row>
    <row r="264" spans="7:26"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206"/>
      <c r="U264" s="175"/>
      <c r="V264" s="175"/>
      <c r="W264" s="175"/>
      <c r="X264" s="175"/>
      <c r="Y264" s="175"/>
      <c r="Z264" s="175"/>
    </row>
    <row r="265" spans="7:26"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206"/>
      <c r="U265" s="175"/>
      <c r="V265" s="175"/>
      <c r="W265" s="175"/>
      <c r="X265" s="175"/>
      <c r="Y265" s="175"/>
      <c r="Z265" s="175"/>
    </row>
    <row r="266" spans="7:26"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206"/>
      <c r="U266" s="175"/>
      <c r="V266" s="175"/>
      <c r="W266" s="175"/>
      <c r="X266" s="175"/>
      <c r="Y266" s="175"/>
      <c r="Z266" s="175"/>
    </row>
    <row r="267" spans="7:26"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206"/>
      <c r="U267" s="175"/>
      <c r="V267" s="175"/>
      <c r="W267" s="175"/>
      <c r="X267" s="175"/>
      <c r="Y267" s="175"/>
      <c r="Z267" s="175"/>
    </row>
    <row r="268" spans="7:26"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206"/>
      <c r="U268" s="175"/>
      <c r="V268" s="175"/>
      <c r="W268" s="175"/>
      <c r="X268" s="175"/>
      <c r="Y268" s="175"/>
      <c r="Z268" s="175"/>
    </row>
    <row r="269" spans="7:26"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206"/>
      <c r="U269" s="175"/>
      <c r="V269" s="175"/>
      <c r="W269" s="175"/>
      <c r="X269" s="175"/>
      <c r="Y269" s="175"/>
      <c r="Z269" s="175"/>
    </row>
    <row r="270" spans="7:26"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206"/>
      <c r="U270" s="175"/>
      <c r="V270" s="175"/>
      <c r="W270" s="175"/>
      <c r="X270" s="175"/>
      <c r="Y270" s="175"/>
      <c r="Z270" s="175"/>
    </row>
    <row r="271" spans="7:26"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206"/>
      <c r="U271" s="175"/>
      <c r="V271" s="175"/>
      <c r="W271" s="175"/>
      <c r="X271" s="175"/>
      <c r="Y271" s="175"/>
      <c r="Z271" s="175"/>
    </row>
    <row r="272" spans="7:26"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206"/>
      <c r="U272" s="175"/>
      <c r="V272" s="175"/>
      <c r="W272" s="175"/>
      <c r="X272" s="175"/>
      <c r="Y272" s="175"/>
      <c r="Z272" s="175"/>
    </row>
    <row r="273" spans="7:26"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206"/>
      <c r="U273" s="175"/>
      <c r="V273" s="175"/>
      <c r="W273" s="175"/>
      <c r="X273" s="175"/>
      <c r="Y273" s="175"/>
      <c r="Z273" s="175"/>
    </row>
    <row r="274" spans="7:26"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206"/>
      <c r="U274" s="175"/>
      <c r="V274" s="175"/>
      <c r="W274" s="175"/>
      <c r="X274" s="175"/>
      <c r="Y274" s="175"/>
      <c r="Z274" s="175"/>
    </row>
    <row r="275" spans="7:26"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206"/>
      <c r="U275" s="175"/>
      <c r="V275" s="175"/>
      <c r="W275" s="175"/>
      <c r="X275" s="175"/>
      <c r="Y275" s="175"/>
      <c r="Z275" s="175"/>
    </row>
    <row r="276" spans="7:26"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206"/>
      <c r="U276" s="175"/>
      <c r="V276" s="175"/>
      <c r="W276" s="175"/>
      <c r="X276" s="175"/>
      <c r="Y276" s="175"/>
      <c r="Z276" s="175"/>
    </row>
    <row r="277" spans="7:26"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206"/>
      <c r="U277" s="175"/>
      <c r="V277" s="175"/>
      <c r="W277" s="175"/>
      <c r="X277" s="175"/>
      <c r="Y277" s="175"/>
      <c r="Z277" s="175"/>
    </row>
    <row r="278" spans="7:26"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206"/>
      <c r="U278" s="175"/>
      <c r="V278" s="175"/>
      <c r="W278" s="175"/>
      <c r="X278" s="175"/>
      <c r="Y278" s="175"/>
      <c r="Z278" s="175"/>
    </row>
    <row r="279" spans="7:26"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206"/>
      <c r="U279" s="175"/>
      <c r="V279" s="175"/>
      <c r="W279" s="175"/>
      <c r="X279" s="175"/>
      <c r="Y279" s="175"/>
      <c r="Z279" s="175"/>
    </row>
    <row r="280" spans="7:26"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206"/>
      <c r="U280" s="175"/>
      <c r="V280" s="175"/>
      <c r="W280" s="175"/>
      <c r="X280" s="175"/>
      <c r="Y280" s="175"/>
      <c r="Z280" s="175"/>
    </row>
    <row r="281" spans="7:26"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206"/>
      <c r="U281" s="175"/>
      <c r="V281" s="175"/>
      <c r="W281" s="175"/>
      <c r="X281" s="175"/>
      <c r="Y281" s="175"/>
      <c r="Z281" s="175"/>
    </row>
    <row r="282" spans="7:26"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206"/>
      <c r="U282" s="175"/>
      <c r="V282" s="175"/>
      <c r="W282" s="175"/>
      <c r="X282" s="175"/>
      <c r="Y282" s="175"/>
      <c r="Z282" s="175"/>
    </row>
    <row r="283" spans="7:26"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206"/>
      <c r="U283" s="175"/>
      <c r="V283" s="175"/>
      <c r="W283" s="175"/>
      <c r="X283" s="175"/>
      <c r="Y283" s="175"/>
      <c r="Z283" s="175"/>
    </row>
    <row r="284" spans="7:26"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206"/>
      <c r="U284" s="175"/>
      <c r="V284" s="175"/>
      <c r="W284" s="175"/>
      <c r="X284" s="175"/>
      <c r="Y284" s="175"/>
      <c r="Z284" s="175"/>
    </row>
    <row r="285" spans="7:26"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206"/>
      <c r="U285" s="175"/>
      <c r="V285" s="175"/>
      <c r="W285" s="175"/>
      <c r="X285" s="175"/>
      <c r="Y285" s="175"/>
      <c r="Z285" s="175"/>
    </row>
    <row r="286" spans="7:26"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206"/>
      <c r="U286" s="175"/>
      <c r="V286" s="175"/>
      <c r="W286" s="175"/>
      <c r="X286" s="175"/>
      <c r="Y286" s="175"/>
      <c r="Z286" s="175"/>
    </row>
    <row r="287" spans="7:26"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206"/>
      <c r="U287" s="175"/>
      <c r="V287" s="175"/>
      <c r="W287" s="175"/>
      <c r="X287" s="175"/>
      <c r="Y287" s="175"/>
      <c r="Z287" s="175"/>
    </row>
    <row r="288" spans="7:26"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206"/>
      <c r="U288" s="175"/>
      <c r="V288" s="175"/>
      <c r="W288" s="175"/>
      <c r="X288" s="175"/>
      <c r="Y288" s="175"/>
      <c r="Z288" s="175"/>
    </row>
    <row r="289" spans="7:26"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206"/>
      <c r="U289" s="175"/>
      <c r="V289" s="175"/>
      <c r="W289" s="175"/>
      <c r="X289" s="175"/>
      <c r="Y289" s="175"/>
      <c r="Z289" s="175"/>
    </row>
    <row r="290" spans="7:26"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206"/>
      <c r="U290" s="175"/>
      <c r="V290" s="175"/>
      <c r="W290" s="175"/>
      <c r="X290" s="175"/>
      <c r="Y290" s="175"/>
      <c r="Z290" s="175"/>
    </row>
    <row r="291" spans="7:26"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206"/>
      <c r="U291" s="175"/>
      <c r="V291" s="175"/>
      <c r="W291" s="175"/>
      <c r="X291" s="175"/>
      <c r="Y291" s="175"/>
      <c r="Z291" s="175"/>
    </row>
    <row r="292" spans="7:26"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206"/>
      <c r="U292" s="175"/>
      <c r="V292" s="175"/>
      <c r="W292" s="175"/>
      <c r="X292" s="175"/>
      <c r="Y292" s="175"/>
      <c r="Z292" s="175"/>
    </row>
    <row r="293" spans="7:26"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206"/>
      <c r="U293" s="175"/>
      <c r="V293" s="175"/>
      <c r="W293" s="175"/>
      <c r="X293" s="175"/>
      <c r="Y293" s="175"/>
      <c r="Z293" s="175"/>
    </row>
    <row r="294" spans="7:26"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206"/>
      <c r="U294" s="175"/>
      <c r="V294" s="175"/>
      <c r="W294" s="175"/>
      <c r="X294" s="175"/>
      <c r="Y294" s="175"/>
      <c r="Z294" s="175"/>
    </row>
    <row r="295" spans="7:26"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206"/>
      <c r="U295" s="175"/>
      <c r="V295" s="175"/>
      <c r="W295" s="175"/>
      <c r="X295" s="175"/>
      <c r="Y295" s="175"/>
      <c r="Z295" s="175"/>
    </row>
    <row r="296" spans="7:26"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206"/>
      <c r="U296" s="175"/>
      <c r="V296" s="175"/>
      <c r="W296" s="175"/>
      <c r="X296" s="175"/>
      <c r="Y296" s="175"/>
      <c r="Z296" s="175"/>
    </row>
    <row r="297" spans="7:26"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206"/>
      <c r="U297" s="175"/>
      <c r="V297" s="175"/>
      <c r="W297" s="175"/>
      <c r="X297" s="175"/>
      <c r="Y297" s="175"/>
      <c r="Z297" s="175"/>
    </row>
    <row r="298" spans="7:26"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206"/>
      <c r="U298" s="175"/>
      <c r="V298" s="175"/>
      <c r="W298" s="175"/>
      <c r="X298" s="175"/>
      <c r="Y298" s="175"/>
      <c r="Z298" s="175"/>
    </row>
    <row r="299" spans="7:26"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206"/>
      <c r="U299" s="175"/>
      <c r="V299" s="175"/>
      <c r="W299" s="175"/>
      <c r="X299" s="175"/>
      <c r="Y299" s="175"/>
      <c r="Z299" s="175"/>
    </row>
    <row r="300" spans="7:26"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206"/>
      <c r="U300" s="175"/>
      <c r="V300" s="175"/>
      <c r="W300" s="175"/>
      <c r="X300" s="175"/>
      <c r="Y300" s="175"/>
      <c r="Z300" s="175"/>
    </row>
    <row r="301" spans="7:26"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206"/>
      <c r="U301" s="175"/>
      <c r="V301" s="175"/>
      <c r="W301" s="175"/>
      <c r="X301" s="175"/>
      <c r="Y301" s="175"/>
      <c r="Z301" s="175"/>
    </row>
    <row r="302" spans="7:26"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206"/>
      <c r="U302" s="175"/>
      <c r="V302" s="175"/>
      <c r="W302" s="175"/>
      <c r="X302" s="175"/>
      <c r="Y302" s="175"/>
      <c r="Z302" s="175"/>
    </row>
    <row r="303" spans="7:26"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206"/>
      <c r="U303" s="175"/>
      <c r="V303" s="175"/>
      <c r="W303" s="175"/>
      <c r="X303" s="175"/>
      <c r="Y303" s="175"/>
      <c r="Z303" s="175"/>
    </row>
    <row r="304" spans="7:26"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206"/>
      <c r="U304" s="175"/>
      <c r="V304" s="175"/>
      <c r="W304" s="175"/>
      <c r="X304" s="175"/>
      <c r="Y304" s="175"/>
      <c r="Z304" s="175"/>
    </row>
    <row r="305" spans="7:26"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206"/>
      <c r="U305" s="175"/>
      <c r="V305" s="175"/>
      <c r="W305" s="175"/>
      <c r="X305" s="175"/>
      <c r="Y305" s="175"/>
      <c r="Z305" s="175"/>
    </row>
    <row r="306" spans="7:26"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206"/>
      <c r="U306" s="175"/>
      <c r="V306" s="175"/>
      <c r="W306" s="175"/>
      <c r="X306" s="175"/>
      <c r="Y306" s="175"/>
      <c r="Z306" s="175"/>
    </row>
    <row r="307" spans="7:26"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206"/>
      <c r="U307" s="175"/>
      <c r="V307" s="175"/>
      <c r="W307" s="175"/>
      <c r="X307" s="175"/>
      <c r="Y307" s="175"/>
      <c r="Z307" s="175"/>
    </row>
    <row r="308" spans="7:26"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206"/>
      <c r="U308" s="175"/>
      <c r="V308" s="175"/>
      <c r="W308" s="175"/>
      <c r="X308" s="175"/>
      <c r="Y308" s="175"/>
      <c r="Z308" s="175"/>
    </row>
    <row r="309" spans="7:26"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206"/>
      <c r="U309" s="175"/>
      <c r="V309" s="175"/>
      <c r="W309" s="175"/>
      <c r="X309" s="175"/>
      <c r="Y309" s="175"/>
      <c r="Z309" s="175"/>
    </row>
    <row r="310" spans="7:26"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206"/>
      <c r="U310" s="175"/>
      <c r="V310" s="175"/>
      <c r="W310" s="175"/>
      <c r="X310" s="175"/>
      <c r="Y310" s="175"/>
      <c r="Z310" s="175"/>
    </row>
    <row r="311" spans="7:26"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206"/>
      <c r="U311" s="175"/>
      <c r="V311" s="175"/>
      <c r="W311" s="175"/>
      <c r="X311" s="175"/>
      <c r="Y311" s="175"/>
      <c r="Z311" s="175"/>
    </row>
    <row r="312" spans="7:26"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206"/>
      <c r="U312" s="175"/>
      <c r="V312" s="175"/>
      <c r="W312" s="175"/>
      <c r="X312" s="175"/>
      <c r="Y312" s="175"/>
      <c r="Z312" s="175"/>
    </row>
    <row r="313" spans="7:26"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206"/>
      <c r="U313" s="175"/>
      <c r="V313" s="175"/>
      <c r="W313" s="175"/>
      <c r="X313" s="175"/>
      <c r="Y313" s="175"/>
      <c r="Z313" s="175"/>
    </row>
    <row r="314" spans="7:26"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206"/>
      <c r="U314" s="175"/>
      <c r="V314" s="175"/>
      <c r="W314" s="175"/>
      <c r="X314" s="175"/>
      <c r="Y314" s="175"/>
      <c r="Z314" s="175"/>
    </row>
    <row r="315" spans="7:26"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206"/>
      <c r="U315" s="175"/>
      <c r="V315" s="175"/>
      <c r="W315" s="175"/>
      <c r="X315" s="175"/>
      <c r="Y315" s="175"/>
      <c r="Z315" s="175"/>
    </row>
    <row r="316" spans="7:26"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206"/>
      <c r="U316" s="175"/>
      <c r="V316" s="175"/>
      <c r="W316" s="175"/>
      <c r="X316" s="175"/>
      <c r="Y316" s="175"/>
      <c r="Z316" s="175"/>
    </row>
    <row r="317" spans="7:26"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206"/>
      <c r="U317" s="175"/>
      <c r="V317" s="175"/>
      <c r="W317" s="175"/>
      <c r="X317" s="175"/>
      <c r="Y317" s="175"/>
      <c r="Z317" s="175"/>
    </row>
    <row r="318" spans="7:26"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206"/>
      <c r="U318" s="175"/>
      <c r="V318" s="175"/>
      <c r="W318" s="175"/>
      <c r="X318" s="175"/>
      <c r="Y318" s="175"/>
      <c r="Z318" s="175"/>
    </row>
    <row r="319" spans="7:26"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206"/>
      <c r="U319" s="175"/>
      <c r="V319" s="175"/>
      <c r="W319" s="175"/>
      <c r="X319" s="175"/>
      <c r="Y319" s="175"/>
      <c r="Z319" s="175"/>
    </row>
    <row r="320" spans="7:26"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206"/>
      <c r="U320" s="175"/>
      <c r="V320" s="175"/>
      <c r="W320" s="175"/>
      <c r="X320" s="175"/>
      <c r="Y320" s="175"/>
      <c r="Z320" s="175"/>
    </row>
    <row r="321" spans="7:26"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206"/>
      <c r="U321" s="175"/>
      <c r="V321" s="175"/>
      <c r="W321" s="175"/>
      <c r="X321" s="175"/>
      <c r="Y321" s="175"/>
      <c r="Z321" s="175"/>
    </row>
    <row r="322" spans="7:26"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206"/>
      <c r="U322" s="175"/>
      <c r="V322" s="175"/>
      <c r="W322" s="175"/>
      <c r="X322" s="175"/>
      <c r="Y322" s="175"/>
      <c r="Z322" s="175"/>
    </row>
    <row r="323" spans="7:26"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206"/>
      <c r="U323" s="175"/>
      <c r="V323" s="175"/>
      <c r="W323" s="175"/>
      <c r="X323" s="175"/>
      <c r="Y323" s="175"/>
      <c r="Z323" s="175"/>
    </row>
    <row r="324" spans="7:26"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206"/>
      <c r="U324" s="175"/>
      <c r="V324" s="175"/>
      <c r="W324" s="175"/>
      <c r="X324" s="175"/>
      <c r="Y324" s="175"/>
      <c r="Z324" s="175"/>
    </row>
    <row r="325" spans="7:26"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206"/>
      <c r="U325" s="175"/>
      <c r="V325" s="175"/>
      <c r="W325" s="175"/>
      <c r="X325" s="175"/>
      <c r="Y325" s="175"/>
      <c r="Z325" s="175"/>
    </row>
    <row r="326" spans="7:26"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206"/>
      <c r="U326" s="175"/>
      <c r="V326" s="175"/>
      <c r="W326" s="175"/>
      <c r="X326" s="175"/>
      <c r="Y326" s="175"/>
      <c r="Z326" s="175"/>
    </row>
    <row r="327" spans="7:26"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206"/>
      <c r="U327" s="175"/>
      <c r="V327" s="175"/>
      <c r="W327" s="175"/>
      <c r="X327" s="175"/>
      <c r="Y327" s="175"/>
      <c r="Z327" s="175"/>
    </row>
    <row r="328" spans="7:26"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206"/>
      <c r="U328" s="175"/>
      <c r="V328" s="175"/>
      <c r="W328" s="175"/>
      <c r="X328" s="175"/>
      <c r="Y328" s="175"/>
      <c r="Z328" s="175"/>
    </row>
    <row r="329" spans="7:26"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206"/>
      <c r="U329" s="175"/>
      <c r="V329" s="175"/>
      <c r="W329" s="175"/>
      <c r="X329" s="175"/>
      <c r="Y329" s="175"/>
      <c r="Z329" s="175"/>
    </row>
    <row r="330" spans="7:26"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206"/>
      <c r="U330" s="175"/>
      <c r="V330" s="175"/>
      <c r="W330" s="175"/>
      <c r="X330" s="175"/>
      <c r="Y330" s="175"/>
      <c r="Z330" s="175"/>
    </row>
    <row r="331" spans="7:26"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206"/>
      <c r="U331" s="175"/>
      <c r="V331" s="175"/>
      <c r="W331" s="175"/>
      <c r="X331" s="175"/>
      <c r="Y331" s="175"/>
      <c r="Z331" s="175"/>
    </row>
    <row r="332" spans="7:26"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206"/>
      <c r="U332" s="175"/>
      <c r="V332" s="175"/>
      <c r="W332" s="175"/>
      <c r="X332" s="175"/>
      <c r="Y332" s="175"/>
      <c r="Z332" s="175"/>
    </row>
    <row r="333" spans="7:26"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206"/>
      <c r="U333" s="175"/>
      <c r="V333" s="175"/>
      <c r="W333" s="175"/>
      <c r="X333" s="175"/>
      <c r="Y333" s="175"/>
      <c r="Z333" s="175"/>
    </row>
    <row r="334" spans="7:26"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206"/>
      <c r="U334" s="175"/>
      <c r="V334" s="175"/>
      <c r="W334" s="175"/>
      <c r="X334" s="175"/>
      <c r="Y334" s="175"/>
      <c r="Z334" s="175"/>
    </row>
    <row r="335" spans="7:26"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206"/>
      <c r="U335" s="175"/>
      <c r="V335" s="175"/>
      <c r="W335" s="175"/>
      <c r="X335" s="175"/>
      <c r="Y335" s="175"/>
      <c r="Z335" s="175"/>
    </row>
    <row r="336" spans="7:26"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206"/>
      <c r="U336" s="175"/>
      <c r="V336" s="175"/>
      <c r="W336" s="175"/>
      <c r="X336" s="175"/>
      <c r="Y336" s="175"/>
      <c r="Z336" s="175"/>
    </row>
    <row r="337" spans="7:26"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206"/>
      <c r="U337" s="175"/>
      <c r="V337" s="175"/>
      <c r="W337" s="175"/>
      <c r="X337" s="175"/>
      <c r="Y337" s="175"/>
      <c r="Z337" s="175"/>
    </row>
    <row r="338" spans="7:26"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206"/>
      <c r="U338" s="175"/>
      <c r="V338" s="175"/>
      <c r="W338" s="175"/>
      <c r="X338" s="175"/>
      <c r="Y338" s="175"/>
      <c r="Z338" s="175"/>
    </row>
    <row r="339" spans="7:26"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206"/>
      <c r="U339" s="175"/>
      <c r="V339" s="175"/>
      <c r="W339" s="175"/>
      <c r="X339" s="175"/>
      <c r="Y339" s="175"/>
      <c r="Z339" s="175"/>
    </row>
    <row r="340" spans="7:26"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206"/>
      <c r="U340" s="175"/>
      <c r="V340" s="175"/>
      <c r="W340" s="175"/>
      <c r="X340" s="175"/>
      <c r="Y340" s="175"/>
      <c r="Z340" s="175"/>
    </row>
    <row r="341" spans="7:26"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206"/>
      <c r="U341" s="175"/>
      <c r="V341" s="175"/>
      <c r="W341" s="175"/>
      <c r="X341" s="175"/>
      <c r="Y341" s="175"/>
      <c r="Z341" s="175"/>
    </row>
    <row r="342" spans="7:26"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206"/>
      <c r="U342" s="175"/>
      <c r="V342" s="175"/>
      <c r="W342" s="175"/>
      <c r="X342" s="175"/>
      <c r="Y342" s="175"/>
      <c r="Z342" s="175"/>
    </row>
    <row r="343" spans="7:26"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206"/>
      <c r="U343" s="175"/>
      <c r="V343" s="175"/>
      <c r="W343" s="175"/>
      <c r="X343" s="175"/>
      <c r="Y343" s="175"/>
      <c r="Z343" s="175"/>
    </row>
    <row r="344" spans="7:26"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206"/>
      <c r="U344" s="175"/>
      <c r="V344" s="175"/>
      <c r="W344" s="175"/>
      <c r="X344" s="175"/>
      <c r="Y344" s="175"/>
      <c r="Z344" s="175"/>
    </row>
    <row r="345" spans="7:26"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206"/>
      <c r="U345" s="175"/>
      <c r="V345" s="175"/>
      <c r="W345" s="175"/>
      <c r="X345" s="175"/>
      <c r="Y345" s="175"/>
      <c r="Z345" s="175"/>
    </row>
    <row r="346" spans="7:26"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206"/>
      <c r="U346" s="175"/>
      <c r="V346" s="175"/>
      <c r="W346" s="175"/>
      <c r="X346" s="175"/>
      <c r="Y346" s="175"/>
      <c r="Z346" s="175"/>
    </row>
    <row r="347" spans="7:26"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206"/>
      <c r="U347" s="175"/>
      <c r="V347" s="175"/>
      <c r="W347" s="175"/>
      <c r="X347" s="175"/>
      <c r="Y347" s="175"/>
      <c r="Z347" s="175"/>
    </row>
    <row r="348" spans="7:26"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206"/>
      <c r="U348" s="175"/>
      <c r="V348" s="175"/>
      <c r="W348" s="175"/>
      <c r="X348" s="175"/>
      <c r="Y348" s="175"/>
      <c r="Z348" s="175"/>
    </row>
    <row r="349" spans="7:26"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206"/>
      <c r="U349" s="175"/>
      <c r="V349" s="175"/>
      <c r="W349" s="175"/>
      <c r="X349" s="175"/>
      <c r="Y349" s="175"/>
      <c r="Z349" s="175"/>
    </row>
    <row r="350" spans="7:26"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206"/>
      <c r="U350" s="175"/>
      <c r="V350" s="175"/>
      <c r="W350" s="175"/>
      <c r="X350" s="175"/>
      <c r="Y350" s="175"/>
      <c r="Z350" s="175"/>
    </row>
    <row r="351" spans="7:26"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206"/>
      <c r="U351" s="175"/>
      <c r="V351" s="175"/>
      <c r="W351" s="175"/>
      <c r="X351" s="175"/>
      <c r="Y351" s="175"/>
      <c r="Z351" s="175"/>
    </row>
    <row r="352" spans="7:26"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206"/>
      <c r="U352" s="175"/>
      <c r="V352" s="175"/>
      <c r="W352" s="175"/>
      <c r="X352" s="175"/>
      <c r="Y352" s="175"/>
      <c r="Z352" s="175"/>
    </row>
    <row r="353" spans="7:26"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206"/>
      <c r="U353" s="175"/>
      <c r="V353" s="175"/>
      <c r="W353" s="175"/>
      <c r="X353" s="175"/>
      <c r="Y353" s="175"/>
      <c r="Z353" s="175"/>
    </row>
    <row r="354" spans="7:26"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206"/>
      <c r="U354" s="175"/>
      <c r="V354" s="175"/>
      <c r="W354" s="175"/>
      <c r="X354" s="175"/>
      <c r="Y354" s="175"/>
      <c r="Z354" s="175"/>
    </row>
    <row r="355" spans="7:26"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206"/>
      <c r="U355" s="175"/>
      <c r="V355" s="175"/>
      <c r="W355" s="175"/>
      <c r="X355" s="175"/>
      <c r="Y355" s="175"/>
      <c r="Z355" s="175"/>
    </row>
    <row r="356" spans="7:26"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206"/>
      <c r="U356" s="175"/>
      <c r="V356" s="175"/>
      <c r="W356" s="175"/>
      <c r="X356" s="175"/>
      <c r="Y356" s="175"/>
      <c r="Z356" s="175"/>
    </row>
    <row r="357" spans="7:26"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206"/>
      <c r="U357" s="175"/>
      <c r="V357" s="175"/>
      <c r="W357" s="175"/>
      <c r="X357" s="175"/>
      <c r="Y357" s="175"/>
      <c r="Z357" s="175"/>
    </row>
    <row r="358" spans="7:26"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206"/>
      <c r="U358" s="175"/>
      <c r="V358" s="175"/>
      <c r="W358" s="175"/>
      <c r="X358" s="175"/>
      <c r="Y358" s="175"/>
      <c r="Z358" s="175"/>
    </row>
    <row r="359" spans="7:26"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206"/>
      <c r="U359" s="175"/>
      <c r="V359" s="175"/>
      <c r="W359" s="175"/>
      <c r="X359" s="175"/>
      <c r="Y359" s="175"/>
      <c r="Z359" s="175"/>
    </row>
    <row r="360" spans="7:26"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206"/>
      <c r="U360" s="175"/>
      <c r="V360" s="175"/>
      <c r="W360" s="175"/>
      <c r="X360" s="175"/>
      <c r="Y360" s="175"/>
      <c r="Z360" s="175"/>
    </row>
    <row r="361" spans="7:26"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206"/>
      <c r="U361" s="175"/>
      <c r="V361" s="175"/>
      <c r="W361" s="175"/>
      <c r="X361" s="175"/>
      <c r="Y361" s="175"/>
      <c r="Z361" s="175"/>
    </row>
    <row r="362" spans="7:26"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206"/>
      <c r="U362" s="175"/>
      <c r="V362" s="175"/>
      <c r="W362" s="175"/>
      <c r="X362" s="175"/>
      <c r="Y362" s="175"/>
      <c r="Z362" s="175"/>
    </row>
    <row r="363" spans="7:26"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206"/>
      <c r="U363" s="175"/>
      <c r="V363" s="175"/>
      <c r="W363" s="175"/>
      <c r="X363" s="175"/>
      <c r="Y363" s="175"/>
      <c r="Z363" s="175"/>
    </row>
    <row r="364" spans="7:26"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206"/>
      <c r="U364" s="175"/>
      <c r="V364" s="175"/>
      <c r="W364" s="175"/>
      <c r="X364" s="175"/>
      <c r="Y364" s="175"/>
      <c r="Z364" s="175"/>
    </row>
    <row r="365" spans="7:26"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206"/>
      <c r="U365" s="175"/>
      <c r="V365" s="175"/>
      <c r="W365" s="175"/>
      <c r="X365" s="175"/>
      <c r="Y365" s="175"/>
      <c r="Z365" s="175"/>
    </row>
    <row r="366" spans="7:26"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206"/>
      <c r="U366" s="175"/>
      <c r="V366" s="175"/>
      <c r="W366" s="175"/>
      <c r="X366" s="175"/>
      <c r="Y366" s="175"/>
      <c r="Z366" s="175"/>
    </row>
    <row r="367" spans="7:26"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206"/>
      <c r="U367" s="175"/>
      <c r="V367" s="175"/>
      <c r="W367" s="175"/>
      <c r="X367" s="175"/>
      <c r="Y367" s="175"/>
      <c r="Z367" s="175"/>
    </row>
    <row r="368" spans="7:26"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206"/>
      <c r="U368" s="175"/>
      <c r="V368" s="175"/>
      <c r="W368" s="175"/>
      <c r="X368" s="175"/>
      <c r="Y368" s="175"/>
      <c r="Z368" s="175"/>
    </row>
    <row r="369" spans="7:26"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206"/>
      <c r="U369" s="175"/>
      <c r="V369" s="175"/>
      <c r="W369" s="175"/>
      <c r="X369" s="175"/>
      <c r="Y369" s="175"/>
      <c r="Z369" s="175"/>
    </row>
    <row r="370" spans="7:26"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206"/>
      <c r="U370" s="175"/>
      <c r="V370" s="175"/>
      <c r="W370" s="175"/>
      <c r="X370" s="175"/>
      <c r="Y370" s="175"/>
      <c r="Z370" s="175"/>
    </row>
    <row r="371" spans="7:26"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206"/>
      <c r="U371" s="175"/>
      <c r="V371" s="175"/>
      <c r="W371" s="175"/>
      <c r="X371" s="175"/>
      <c r="Y371" s="175"/>
      <c r="Z371" s="175"/>
    </row>
    <row r="372" spans="7:26"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206"/>
      <c r="U372" s="175"/>
      <c r="V372" s="175"/>
      <c r="W372" s="175"/>
      <c r="X372" s="175"/>
      <c r="Y372" s="175"/>
      <c r="Z372" s="175"/>
    </row>
    <row r="373" spans="7:26"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206"/>
      <c r="U373" s="175"/>
      <c r="V373" s="175"/>
      <c r="W373" s="175"/>
      <c r="X373" s="175"/>
      <c r="Y373" s="175"/>
      <c r="Z373" s="175"/>
    </row>
    <row r="374" spans="7:26"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206"/>
      <c r="U374" s="175"/>
      <c r="V374" s="175"/>
      <c r="W374" s="175"/>
      <c r="X374" s="175"/>
      <c r="Y374" s="175"/>
      <c r="Z374" s="175"/>
    </row>
    <row r="375" spans="7:26"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206"/>
      <c r="U375" s="175"/>
      <c r="V375" s="175"/>
      <c r="W375" s="175"/>
      <c r="X375" s="175"/>
      <c r="Y375" s="175"/>
      <c r="Z375" s="175"/>
    </row>
    <row r="376" spans="7:26"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206"/>
      <c r="U376" s="175"/>
      <c r="V376" s="175"/>
      <c r="W376" s="175"/>
      <c r="X376" s="175"/>
      <c r="Y376" s="175"/>
      <c r="Z376" s="175"/>
    </row>
    <row r="377" spans="7:26"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206"/>
      <c r="U377" s="175"/>
      <c r="V377" s="175"/>
      <c r="W377" s="175"/>
      <c r="X377" s="175"/>
      <c r="Y377" s="175"/>
      <c r="Z377" s="175"/>
    </row>
    <row r="378" spans="7:26"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206"/>
      <c r="U378" s="175"/>
      <c r="V378" s="175"/>
      <c r="W378" s="175"/>
      <c r="X378" s="175"/>
      <c r="Y378" s="175"/>
      <c r="Z378" s="175"/>
    </row>
    <row r="379" spans="7:26"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206"/>
      <c r="U379" s="175"/>
      <c r="V379" s="175"/>
      <c r="W379" s="175"/>
      <c r="X379" s="175"/>
      <c r="Y379" s="175"/>
      <c r="Z379" s="175"/>
    </row>
    <row r="380" spans="7:26"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206"/>
      <c r="U380" s="175"/>
      <c r="V380" s="175"/>
      <c r="W380" s="175"/>
      <c r="X380" s="175"/>
      <c r="Y380" s="175"/>
      <c r="Z380" s="175"/>
    </row>
    <row r="381" spans="7:26"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206"/>
      <c r="U381" s="175"/>
      <c r="V381" s="175"/>
      <c r="W381" s="175"/>
      <c r="X381" s="175"/>
      <c r="Y381" s="175"/>
      <c r="Z381" s="175"/>
    </row>
    <row r="382" spans="7:26"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206"/>
      <c r="U382" s="175"/>
      <c r="V382" s="175"/>
      <c r="W382" s="175"/>
      <c r="X382" s="175"/>
      <c r="Y382" s="175"/>
      <c r="Z382" s="175"/>
    </row>
    <row r="383" spans="7:26"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206"/>
      <c r="U383" s="175"/>
      <c r="V383" s="175"/>
      <c r="W383" s="175"/>
      <c r="X383" s="175"/>
      <c r="Y383" s="175"/>
      <c r="Z383" s="175"/>
    </row>
    <row r="384" spans="7:26"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206"/>
      <c r="U384" s="175"/>
      <c r="V384" s="175"/>
      <c r="W384" s="175"/>
      <c r="X384" s="175"/>
      <c r="Y384" s="175"/>
      <c r="Z384" s="175"/>
    </row>
    <row r="385" spans="7:26"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206"/>
      <c r="U385" s="175"/>
      <c r="V385" s="175"/>
      <c r="W385" s="175"/>
      <c r="X385" s="175"/>
      <c r="Y385" s="175"/>
      <c r="Z385" s="175"/>
    </row>
    <row r="386" spans="7:26"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206"/>
      <c r="U386" s="175"/>
      <c r="V386" s="175"/>
      <c r="W386" s="175"/>
      <c r="X386" s="175"/>
      <c r="Y386" s="175"/>
      <c r="Z386" s="175"/>
    </row>
    <row r="387" spans="7:26"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206"/>
      <c r="U387" s="175"/>
      <c r="V387" s="175"/>
      <c r="W387" s="175"/>
      <c r="X387" s="175"/>
      <c r="Y387" s="175"/>
      <c r="Z387" s="175"/>
    </row>
    <row r="388" spans="7:26"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206"/>
      <c r="U388" s="175"/>
      <c r="V388" s="175"/>
      <c r="W388" s="175"/>
      <c r="X388" s="175"/>
      <c r="Y388" s="175"/>
      <c r="Z388" s="175"/>
    </row>
    <row r="389" spans="7:26"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206"/>
      <c r="U389" s="175"/>
      <c r="V389" s="175"/>
      <c r="W389" s="175"/>
      <c r="X389" s="175"/>
      <c r="Y389" s="175"/>
      <c r="Z389" s="175"/>
    </row>
    <row r="390" spans="7:26"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206"/>
      <c r="U390" s="175"/>
      <c r="V390" s="175"/>
      <c r="W390" s="175"/>
      <c r="X390" s="175"/>
      <c r="Y390" s="175"/>
      <c r="Z390" s="175"/>
    </row>
    <row r="391" spans="7:26"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206"/>
      <c r="U391" s="175"/>
      <c r="V391" s="175"/>
      <c r="W391" s="175"/>
      <c r="X391" s="175"/>
      <c r="Y391" s="175"/>
      <c r="Z391" s="175"/>
    </row>
    <row r="392" spans="7:26"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206"/>
      <c r="U392" s="175"/>
      <c r="V392" s="175"/>
      <c r="W392" s="175"/>
      <c r="X392" s="175"/>
      <c r="Y392" s="175"/>
      <c r="Z392" s="175"/>
    </row>
    <row r="393" spans="7:26"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206"/>
      <c r="U393" s="175"/>
      <c r="V393" s="175"/>
      <c r="W393" s="175"/>
      <c r="X393" s="175"/>
      <c r="Y393" s="175"/>
      <c r="Z393" s="175"/>
    </row>
    <row r="394" spans="7:26"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206"/>
      <c r="U394" s="175"/>
      <c r="V394" s="175"/>
      <c r="W394" s="175"/>
      <c r="X394" s="175"/>
      <c r="Y394" s="175"/>
      <c r="Z394" s="175"/>
    </row>
    <row r="395" spans="7:26"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206"/>
      <c r="U395" s="175"/>
      <c r="V395" s="175"/>
      <c r="W395" s="175"/>
      <c r="X395" s="175"/>
      <c r="Y395" s="175"/>
      <c r="Z395" s="175"/>
    </row>
    <row r="396" spans="7:26"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206"/>
      <c r="U396" s="175"/>
      <c r="V396" s="175"/>
      <c r="W396" s="175"/>
      <c r="X396" s="175"/>
      <c r="Y396" s="175"/>
      <c r="Z396" s="175"/>
    </row>
    <row r="397" spans="7:26"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206"/>
      <c r="U397" s="175"/>
      <c r="V397" s="175"/>
      <c r="W397" s="175"/>
      <c r="X397" s="175"/>
      <c r="Y397" s="175"/>
      <c r="Z397" s="175"/>
    </row>
    <row r="398" spans="7:26"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206"/>
      <c r="U398" s="175"/>
      <c r="V398" s="175"/>
      <c r="W398" s="175"/>
      <c r="X398" s="175"/>
      <c r="Y398" s="175"/>
      <c r="Z398" s="175"/>
    </row>
    <row r="399" spans="7:26"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206"/>
      <c r="U399" s="175"/>
      <c r="V399" s="175"/>
      <c r="W399" s="175"/>
      <c r="X399" s="175"/>
      <c r="Y399" s="175"/>
      <c r="Z399" s="175"/>
    </row>
    <row r="400" spans="7:26"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206"/>
      <c r="U400" s="175"/>
      <c r="V400" s="175"/>
      <c r="W400" s="175"/>
      <c r="X400" s="175"/>
      <c r="Y400" s="175"/>
      <c r="Z400" s="175"/>
    </row>
    <row r="401" spans="7:26"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206"/>
      <c r="U401" s="175"/>
      <c r="V401" s="175"/>
      <c r="W401" s="175"/>
      <c r="X401" s="175"/>
      <c r="Y401" s="175"/>
      <c r="Z401" s="175"/>
    </row>
    <row r="402" spans="7:26"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206"/>
      <c r="U402" s="175"/>
      <c r="V402" s="175"/>
      <c r="W402" s="175"/>
      <c r="X402" s="175"/>
      <c r="Y402" s="175"/>
      <c r="Z402" s="175"/>
    </row>
    <row r="403" spans="7:26"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206"/>
      <c r="U403" s="175"/>
      <c r="V403" s="175"/>
      <c r="W403" s="175"/>
      <c r="X403" s="175"/>
      <c r="Y403" s="175"/>
      <c r="Z403" s="175"/>
    </row>
    <row r="404" spans="7:26"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206"/>
      <c r="U404" s="175"/>
      <c r="V404" s="175"/>
      <c r="W404" s="175"/>
      <c r="X404" s="175"/>
      <c r="Y404" s="175"/>
      <c r="Z404" s="175"/>
    </row>
    <row r="405" spans="7:26"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206"/>
      <c r="U405" s="175"/>
      <c r="V405" s="175"/>
      <c r="W405" s="175"/>
      <c r="X405" s="175"/>
      <c r="Y405" s="175"/>
      <c r="Z405" s="175"/>
    </row>
    <row r="406" spans="7:26"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206"/>
      <c r="U406" s="175"/>
      <c r="V406" s="175"/>
      <c r="W406" s="175"/>
      <c r="X406" s="175"/>
      <c r="Y406" s="175"/>
      <c r="Z406" s="175"/>
    </row>
    <row r="407" spans="7:26"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206"/>
      <c r="U407" s="175"/>
      <c r="V407" s="175"/>
      <c r="W407" s="175"/>
      <c r="X407" s="175"/>
      <c r="Y407" s="175"/>
      <c r="Z407" s="175"/>
    </row>
    <row r="408" spans="7:26"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206"/>
      <c r="U408" s="175"/>
      <c r="V408" s="175"/>
      <c r="W408" s="175"/>
      <c r="X408" s="175"/>
      <c r="Y408" s="175"/>
      <c r="Z408" s="175"/>
    </row>
    <row r="409" spans="7:26"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206"/>
      <c r="U409" s="175"/>
      <c r="V409" s="175"/>
      <c r="W409" s="175"/>
      <c r="X409" s="175"/>
      <c r="Y409" s="175"/>
      <c r="Z409" s="175"/>
    </row>
    <row r="410" spans="7:26"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206"/>
      <c r="U410" s="175"/>
      <c r="V410" s="175"/>
      <c r="W410" s="175"/>
      <c r="X410" s="175"/>
      <c r="Y410" s="175"/>
      <c r="Z410" s="175"/>
    </row>
    <row r="411" spans="7:26"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206"/>
      <c r="U411" s="175"/>
      <c r="V411" s="175"/>
      <c r="W411" s="175"/>
      <c r="X411" s="175"/>
      <c r="Y411" s="175"/>
      <c r="Z411" s="175"/>
    </row>
    <row r="412" spans="7:26"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206"/>
      <c r="U412" s="175"/>
      <c r="V412" s="175"/>
      <c r="W412" s="175"/>
      <c r="X412" s="175"/>
      <c r="Y412" s="175"/>
      <c r="Z412" s="175"/>
    </row>
    <row r="413" spans="7:26"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206"/>
      <c r="U413" s="175"/>
      <c r="V413" s="175"/>
      <c r="W413" s="175"/>
      <c r="X413" s="175"/>
      <c r="Y413" s="175"/>
      <c r="Z413" s="175"/>
    </row>
    <row r="414" spans="7:26"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206"/>
      <c r="U414" s="175"/>
      <c r="V414" s="175"/>
      <c r="W414" s="175"/>
      <c r="X414" s="175"/>
      <c r="Y414" s="175"/>
      <c r="Z414" s="175"/>
    </row>
    <row r="415" spans="7:26"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206"/>
      <c r="U415" s="175"/>
      <c r="V415" s="175"/>
      <c r="W415" s="175"/>
      <c r="X415" s="175"/>
      <c r="Y415" s="175"/>
      <c r="Z415" s="175"/>
    </row>
    <row r="416" spans="7:26"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206"/>
      <c r="U416" s="175"/>
      <c r="V416" s="175"/>
      <c r="W416" s="175"/>
      <c r="X416" s="175"/>
      <c r="Y416" s="175"/>
      <c r="Z416" s="175"/>
    </row>
    <row r="417" spans="7:26"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206"/>
      <c r="U417" s="175"/>
      <c r="V417" s="175"/>
      <c r="W417" s="175"/>
      <c r="X417" s="175"/>
      <c r="Y417" s="175"/>
      <c r="Z417" s="175"/>
    </row>
    <row r="418" spans="7:26"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206"/>
      <c r="U418" s="175"/>
      <c r="V418" s="175"/>
      <c r="W418" s="175"/>
      <c r="X418" s="175"/>
      <c r="Y418" s="175"/>
      <c r="Z418" s="175"/>
    </row>
    <row r="419" spans="7:26"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206"/>
      <c r="U419" s="175"/>
      <c r="V419" s="175"/>
      <c r="W419" s="175"/>
      <c r="X419" s="175"/>
      <c r="Y419" s="175"/>
      <c r="Z419" s="175"/>
    </row>
    <row r="420" spans="7:26"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206"/>
      <c r="U420" s="175"/>
      <c r="V420" s="175"/>
      <c r="W420" s="175"/>
      <c r="X420" s="175"/>
      <c r="Y420" s="175"/>
      <c r="Z420" s="175"/>
    </row>
    <row r="421" spans="7:26"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206"/>
      <c r="U421" s="175"/>
      <c r="V421" s="175"/>
      <c r="W421" s="175"/>
      <c r="X421" s="175"/>
      <c r="Y421" s="175"/>
      <c r="Z421" s="175"/>
    </row>
    <row r="422" spans="7:26"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206"/>
      <c r="U422" s="175"/>
      <c r="V422" s="175"/>
      <c r="W422" s="175"/>
      <c r="X422" s="175"/>
      <c r="Y422" s="175"/>
      <c r="Z422" s="175"/>
    </row>
    <row r="423" spans="7:26"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206"/>
      <c r="U423" s="175"/>
      <c r="V423" s="175"/>
      <c r="W423" s="175"/>
      <c r="X423" s="175"/>
      <c r="Y423" s="175"/>
      <c r="Z423" s="175"/>
    </row>
    <row r="424" spans="7:26"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206"/>
      <c r="U424" s="175"/>
      <c r="V424" s="175"/>
      <c r="W424" s="175"/>
      <c r="X424" s="175"/>
      <c r="Y424" s="175"/>
      <c r="Z424" s="175"/>
    </row>
    <row r="425" spans="7:26"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206"/>
      <c r="U425" s="175"/>
      <c r="V425" s="175"/>
      <c r="W425" s="175"/>
      <c r="X425" s="175"/>
      <c r="Y425" s="175"/>
      <c r="Z425" s="175"/>
    </row>
    <row r="426" spans="7:26"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206"/>
      <c r="U426" s="175"/>
      <c r="V426" s="175"/>
      <c r="W426" s="175"/>
      <c r="X426" s="175"/>
      <c r="Y426" s="175"/>
      <c r="Z426" s="175"/>
    </row>
    <row r="427" spans="7:26"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206"/>
      <c r="U427" s="175"/>
      <c r="V427" s="175"/>
      <c r="W427" s="175"/>
      <c r="X427" s="175"/>
      <c r="Y427" s="175"/>
      <c r="Z427" s="175"/>
    </row>
    <row r="428" spans="7:26"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206"/>
      <c r="U428" s="175"/>
      <c r="V428" s="175"/>
      <c r="W428" s="175"/>
      <c r="X428" s="175"/>
      <c r="Y428" s="175"/>
      <c r="Z428" s="175"/>
    </row>
    <row r="429" spans="7:26"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206"/>
      <c r="U429" s="175"/>
      <c r="V429" s="175"/>
      <c r="W429" s="175"/>
      <c r="X429" s="175"/>
      <c r="Y429" s="175"/>
      <c r="Z429" s="175"/>
    </row>
    <row r="430" spans="7:26"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206"/>
      <c r="U430" s="175"/>
      <c r="V430" s="175"/>
      <c r="W430" s="175"/>
      <c r="X430" s="175"/>
      <c r="Y430" s="175"/>
      <c r="Z430" s="175"/>
    </row>
    <row r="431" spans="7:26"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206"/>
      <c r="U431" s="175"/>
      <c r="V431" s="175"/>
      <c r="W431" s="175"/>
      <c r="X431" s="175"/>
      <c r="Y431" s="175"/>
      <c r="Z431" s="175"/>
    </row>
    <row r="432" spans="7:26"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206"/>
      <c r="U432" s="175"/>
      <c r="V432" s="175"/>
      <c r="W432" s="175"/>
      <c r="X432" s="175"/>
      <c r="Y432" s="175"/>
      <c r="Z432" s="175"/>
    </row>
    <row r="433" spans="7:26"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206"/>
      <c r="U433" s="175"/>
      <c r="V433" s="175"/>
      <c r="W433" s="175"/>
      <c r="X433" s="175"/>
      <c r="Y433" s="175"/>
      <c r="Z433" s="175"/>
    </row>
    <row r="434" spans="7:26"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206"/>
      <c r="U434" s="175"/>
      <c r="V434" s="175"/>
      <c r="W434" s="175"/>
      <c r="X434" s="175"/>
      <c r="Y434" s="175"/>
      <c r="Z434" s="175"/>
    </row>
    <row r="435" spans="7:26"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206"/>
      <c r="U435" s="175"/>
      <c r="V435" s="175"/>
      <c r="W435" s="175"/>
      <c r="X435" s="175"/>
      <c r="Y435" s="175"/>
      <c r="Z435" s="175"/>
    </row>
    <row r="436" spans="7:26"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206"/>
      <c r="U436" s="175"/>
      <c r="V436" s="175"/>
      <c r="W436" s="175"/>
      <c r="X436" s="175"/>
      <c r="Y436" s="175"/>
      <c r="Z436" s="175"/>
    </row>
    <row r="437" spans="7:26"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206"/>
      <c r="U437" s="175"/>
      <c r="V437" s="175"/>
      <c r="W437" s="175"/>
      <c r="X437" s="175"/>
      <c r="Y437" s="175"/>
      <c r="Z437" s="175"/>
    </row>
    <row r="438" spans="7:26"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206"/>
      <c r="U438" s="175"/>
      <c r="V438" s="175"/>
      <c r="W438" s="175"/>
      <c r="X438" s="175"/>
      <c r="Y438" s="175"/>
      <c r="Z438" s="175"/>
    </row>
    <row r="439" spans="7:26"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206"/>
      <c r="U439" s="175"/>
      <c r="V439" s="175"/>
      <c r="W439" s="175"/>
      <c r="X439" s="175"/>
      <c r="Y439" s="175"/>
      <c r="Z439" s="175"/>
    </row>
    <row r="440" spans="7:26"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206"/>
      <c r="U440" s="175"/>
      <c r="V440" s="175"/>
      <c r="W440" s="175"/>
      <c r="X440" s="175"/>
      <c r="Y440" s="175"/>
      <c r="Z440" s="175"/>
    </row>
    <row r="441" spans="7:26"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206"/>
      <c r="U441" s="175"/>
      <c r="V441" s="175"/>
      <c r="W441" s="175"/>
      <c r="X441" s="175"/>
      <c r="Y441" s="175"/>
      <c r="Z441" s="175"/>
    </row>
    <row r="442" spans="7:26"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206"/>
      <c r="U442" s="175"/>
      <c r="V442" s="175"/>
      <c r="W442" s="175"/>
      <c r="X442" s="175"/>
      <c r="Y442" s="175"/>
      <c r="Z442" s="175"/>
    </row>
    <row r="443" spans="7:26"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206"/>
      <c r="U443" s="175"/>
      <c r="V443" s="175"/>
      <c r="W443" s="175"/>
      <c r="X443" s="175"/>
      <c r="Y443" s="175"/>
      <c r="Z443" s="175"/>
    </row>
    <row r="444" spans="7:26"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206"/>
      <c r="U444" s="175"/>
      <c r="V444" s="175"/>
      <c r="W444" s="175"/>
      <c r="X444" s="175"/>
      <c r="Y444" s="175"/>
      <c r="Z444" s="175"/>
    </row>
    <row r="445" spans="7:26"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206"/>
      <c r="U445" s="175"/>
      <c r="V445" s="175"/>
      <c r="W445" s="175"/>
      <c r="X445" s="175"/>
      <c r="Y445" s="175"/>
      <c r="Z445" s="175"/>
    </row>
    <row r="446" spans="7:26"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206"/>
      <c r="U446" s="175"/>
      <c r="V446" s="175"/>
      <c r="W446" s="175"/>
      <c r="X446" s="175"/>
      <c r="Y446" s="175"/>
      <c r="Z446" s="175"/>
    </row>
    <row r="447" spans="7:26"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206"/>
      <c r="U447" s="175"/>
      <c r="V447" s="175"/>
      <c r="W447" s="175"/>
      <c r="X447" s="175"/>
      <c r="Y447" s="175"/>
      <c r="Z447" s="175"/>
    </row>
    <row r="448" spans="7:26"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206"/>
      <c r="U448" s="175"/>
      <c r="V448" s="175"/>
      <c r="W448" s="175"/>
      <c r="X448" s="175"/>
      <c r="Y448" s="175"/>
      <c r="Z448" s="175"/>
    </row>
    <row r="449" spans="7:26"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206"/>
      <c r="U449" s="175"/>
      <c r="V449" s="175"/>
      <c r="W449" s="175"/>
      <c r="X449" s="175"/>
      <c r="Y449" s="175"/>
      <c r="Z449" s="175"/>
    </row>
    <row r="450" spans="7:26"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206"/>
      <c r="U450" s="175"/>
      <c r="V450" s="175"/>
      <c r="W450" s="175"/>
      <c r="X450" s="175"/>
      <c r="Y450" s="175"/>
      <c r="Z450" s="175"/>
    </row>
    <row r="451" spans="7:26"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206"/>
      <c r="U451" s="175"/>
      <c r="V451" s="175"/>
      <c r="W451" s="175"/>
      <c r="X451" s="175"/>
      <c r="Y451" s="175"/>
      <c r="Z451" s="175"/>
    </row>
    <row r="452" spans="7:26"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206"/>
      <c r="U452" s="175"/>
      <c r="V452" s="175"/>
      <c r="W452" s="175"/>
      <c r="X452" s="175"/>
      <c r="Y452" s="175"/>
      <c r="Z452" s="175"/>
    </row>
    <row r="453" spans="7:26"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206"/>
      <c r="U453" s="175"/>
      <c r="V453" s="175"/>
      <c r="W453" s="175"/>
      <c r="X453" s="175"/>
      <c r="Y453" s="175"/>
      <c r="Z453" s="175"/>
    </row>
    <row r="454" spans="7:26"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206"/>
      <c r="U454" s="175"/>
      <c r="V454" s="175"/>
      <c r="W454" s="175"/>
      <c r="X454" s="175"/>
      <c r="Y454" s="175"/>
      <c r="Z454" s="175"/>
    </row>
    <row r="455" spans="7:26"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206"/>
      <c r="U455" s="175"/>
      <c r="V455" s="175"/>
      <c r="W455" s="175"/>
      <c r="X455" s="175"/>
      <c r="Y455" s="175"/>
      <c r="Z455" s="175"/>
    </row>
    <row r="456" spans="7:26"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206"/>
      <c r="U456" s="175"/>
      <c r="V456" s="175"/>
      <c r="W456" s="175"/>
      <c r="X456" s="175"/>
      <c r="Y456" s="175"/>
      <c r="Z456" s="175"/>
    </row>
    <row r="457" spans="7:26"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206"/>
      <c r="U457" s="175"/>
      <c r="V457" s="175"/>
      <c r="W457" s="175"/>
      <c r="X457" s="175"/>
      <c r="Y457" s="175"/>
      <c r="Z457" s="175"/>
    </row>
    <row r="458" spans="7:26"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206"/>
      <c r="U458" s="175"/>
      <c r="V458" s="175"/>
      <c r="W458" s="175"/>
      <c r="X458" s="175"/>
      <c r="Y458" s="175"/>
      <c r="Z458" s="175"/>
    </row>
    <row r="459" spans="7:26"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206"/>
      <c r="U459" s="175"/>
      <c r="V459" s="175"/>
      <c r="W459" s="175"/>
      <c r="X459" s="175"/>
      <c r="Y459" s="175"/>
      <c r="Z459" s="175"/>
    </row>
    <row r="460" spans="7:26"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206"/>
      <c r="U460" s="175"/>
      <c r="V460" s="175"/>
      <c r="W460" s="175"/>
      <c r="X460" s="175"/>
      <c r="Y460" s="175"/>
      <c r="Z460" s="175"/>
    </row>
    <row r="461" spans="7:26"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206"/>
      <c r="U461" s="175"/>
      <c r="V461" s="175"/>
      <c r="W461" s="175"/>
      <c r="X461" s="175"/>
      <c r="Y461" s="175"/>
      <c r="Z461" s="175"/>
    </row>
    <row r="462" spans="7:26"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206"/>
      <c r="U462" s="175"/>
      <c r="V462" s="175"/>
      <c r="W462" s="175"/>
      <c r="X462" s="175"/>
      <c r="Y462" s="175"/>
      <c r="Z462" s="175"/>
    </row>
    <row r="463" spans="7:26"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206"/>
      <c r="U463" s="175"/>
      <c r="V463" s="175"/>
      <c r="W463" s="175"/>
      <c r="X463" s="175"/>
      <c r="Y463" s="175"/>
      <c r="Z463" s="175"/>
    </row>
    <row r="464" spans="7:26"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206"/>
      <c r="U464" s="175"/>
      <c r="V464" s="175"/>
      <c r="W464" s="175"/>
      <c r="X464" s="175"/>
      <c r="Y464" s="175"/>
      <c r="Z464" s="175"/>
    </row>
    <row r="465" spans="7:26"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206"/>
      <c r="U465" s="175"/>
      <c r="V465" s="175"/>
      <c r="W465" s="175"/>
      <c r="X465" s="175"/>
      <c r="Y465" s="175"/>
      <c r="Z465" s="175"/>
    </row>
    <row r="466" spans="7:26"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206"/>
      <c r="U466" s="175"/>
      <c r="V466" s="175"/>
      <c r="W466" s="175"/>
      <c r="X466" s="175"/>
      <c r="Y466" s="175"/>
      <c r="Z466" s="175"/>
    </row>
    <row r="467" spans="7:26"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206"/>
      <c r="U467" s="175"/>
      <c r="V467" s="175"/>
      <c r="W467" s="175"/>
      <c r="X467" s="175"/>
      <c r="Y467" s="175"/>
      <c r="Z467" s="175"/>
    </row>
    <row r="468" spans="7:26"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206"/>
      <c r="U468" s="175"/>
      <c r="V468" s="175"/>
      <c r="W468" s="175"/>
      <c r="X468" s="175"/>
      <c r="Y468" s="175"/>
      <c r="Z468" s="175"/>
    </row>
    <row r="469" spans="7:26"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206"/>
      <c r="U469" s="175"/>
      <c r="V469" s="175"/>
      <c r="W469" s="175"/>
      <c r="X469" s="175"/>
      <c r="Y469" s="175"/>
      <c r="Z469" s="175"/>
    </row>
    <row r="470" spans="7:26"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206"/>
      <c r="U470" s="175"/>
      <c r="V470" s="175"/>
      <c r="W470" s="175"/>
      <c r="X470" s="175"/>
      <c r="Y470" s="175"/>
      <c r="Z470" s="175"/>
    </row>
    <row r="471" spans="7:26"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206"/>
      <c r="U471" s="175"/>
      <c r="V471" s="175"/>
      <c r="W471" s="175"/>
      <c r="X471" s="175"/>
      <c r="Y471" s="175"/>
      <c r="Z471" s="175"/>
    </row>
    <row r="472" spans="7:26"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206"/>
      <c r="U472" s="175"/>
      <c r="V472" s="175"/>
      <c r="W472" s="175"/>
      <c r="X472" s="175"/>
      <c r="Y472" s="175"/>
      <c r="Z472" s="175"/>
    </row>
    <row r="473" spans="7:26"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206"/>
      <c r="U473" s="175"/>
      <c r="V473" s="175"/>
      <c r="W473" s="175"/>
      <c r="X473" s="175"/>
      <c r="Y473" s="175"/>
      <c r="Z473" s="175"/>
    </row>
    <row r="474" spans="7:26"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206"/>
      <c r="U474" s="175"/>
      <c r="V474" s="175"/>
      <c r="W474" s="175"/>
      <c r="X474" s="175"/>
      <c r="Y474" s="175"/>
      <c r="Z474" s="175"/>
    </row>
    <row r="475" spans="7:26"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206"/>
      <c r="U475" s="175"/>
      <c r="V475" s="175"/>
      <c r="W475" s="175"/>
      <c r="X475" s="175"/>
      <c r="Y475" s="175"/>
      <c r="Z475" s="175"/>
    </row>
    <row r="476" spans="7:26"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206"/>
      <c r="U476" s="175"/>
      <c r="V476" s="175"/>
      <c r="W476" s="175"/>
      <c r="X476" s="175"/>
      <c r="Y476" s="175"/>
      <c r="Z476" s="175"/>
    </row>
    <row r="477" spans="7:26"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206"/>
      <c r="U477" s="175"/>
      <c r="V477" s="175"/>
      <c r="W477" s="175"/>
      <c r="X477" s="175"/>
      <c r="Y477" s="175"/>
      <c r="Z477" s="175"/>
    </row>
    <row r="478" spans="7:26"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206"/>
      <c r="U478" s="175"/>
      <c r="V478" s="175"/>
      <c r="W478" s="175"/>
      <c r="X478" s="175"/>
      <c r="Y478" s="175"/>
      <c r="Z478" s="175"/>
    </row>
    <row r="479" spans="7:26"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206"/>
      <c r="U479" s="175"/>
      <c r="V479" s="175"/>
      <c r="W479" s="175"/>
      <c r="X479" s="175"/>
      <c r="Y479" s="175"/>
      <c r="Z479" s="175"/>
    </row>
    <row r="480" spans="7:26"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206"/>
      <c r="U480" s="175"/>
      <c r="V480" s="175"/>
      <c r="W480" s="175"/>
      <c r="X480" s="175"/>
      <c r="Y480" s="175"/>
      <c r="Z480" s="175"/>
    </row>
    <row r="481" spans="7:26"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206"/>
      <c r="U481" s="175"/>
      <c r="V481" s="175"/>
      <c r="W481" s="175"/>
      <c r="X481" s="175"/>
      <c r="Y481" s="175"/>
      <c r="Z481" s="175"/>
    </row>
    <row r="482" spans="7:26"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206"/>
      <c r="U482" s="175"/>
      <c r="V482" s="175"/>
      <c r="W482" s="175"/>
      <c r="X482" s="175"/>
      <c r="Y482" s="175"/>
      <c r="Z482" s="175"/>
    </row>
    <row r="483" spans="7:26"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206"/>
      <c r="U483" s="175"/>
      <c r="V483" s="175"/>
      <c r="W483" s="175"/>
      <c r="X483" s="175"/>
      <c r="Y483" s="175"/>
      <c r="Z483" s="175"/>
    </row>
    <row r="484" spans="7:26"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206"/>
      <c r="U484" s="175"/>
      <c r="V484" s="175"/>
      <c r="W484" s="175"/>
      <c r="X484" s="175"/>
      <c r="Y484" s="175"/>
      <c r="Z484" s="175"/>
    </row>
    <row r="485" spans="7:26"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206"/>
      <c r="U485" s="175"/>
      <c r="V485" s="175"/>
      <c r="W485" s="175"/>
      <c r="X485" s="175"/>
      <c r="Y485" s="175"/>
      <c r="Z485" s="175"/>
    </row>
    <row r="486" spans="7:26"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206"/>
      <c r="U486" s="175"/>
      <c r="V486" s="175"/>
      <c r="W486" s="175"/>
      <c r="X486" s="175"/>
      <c r="Y486" s="175"/>
      <c r="Z486" s="175"/>
    </row>
    <row r="487" spans="7:26"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206"/>
      <c r="U487" s="175"/>
      <c r="V487" s="175"/>
      <c r="W487" s="175"/>
      <c r="X487" s="175"/>
      <c r="Y487" s="175"/>
      <c r="Z487" s="175"/>
    </row>
    <row r="488" spans="7:26"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206"/>
      <c r="U488" s="175"/>
      <c r="V488" s="175"/>
      <c r="W488" s="175"/>
      <c r="X488" s="175"/>
      <c r="Y488" s="175"/>
      <c r="Z488" s="175"/>
    </row>
    <row r="489" spans="7:26"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206"/>
      <c r="U489" s="175"/>
      <c r="V489" s="175"/>
      <c r="W489" s="175"/>
      <c r="X489" s="175"/>
      <c r="Y489" s="175"/>
      <c r="Z489" s="175"/>
    </row>
    <row r="490" spans="7:26"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206"/>
      <c r="U490" s="175"/>
      <c r="V490" s="175"/>
      <c r="W490" s="175"/>
      <c r="X490" s="175"/>
      <c r="Y490" s="175"/>
      <c r="Z490" s="175"/>
    </row>
    <row r="491" spans="7:26"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206"/>
      <c r="U491" s="175"/>
      <c r="V491" s="175"/>
      <c r="W491" s="175"/>
      <c r="X491" s="175"/>
      <c r="Y491" s="175"/>
      <c r="Z491" s="175"/>
    </row>
    <row r="492" spans="7:26"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206"/>
      <c r="U492" s="175"/>
      <c r="V492" s="175"/>
      <c r="W492" s="175"/>
      <c r="X492" s="175"/>
      <c r="Y492" s="175"/>
      <c r="Z492" s="175"/>
    </row>
    <row r="493" spans="7:26"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206"/>
      <c r="U493" s="175"/>
      <c r="V493" s="175"/>
      <c r="W493" s="175"/>
      <c r="X493" s="175"/>
      <c r="Y493" s="175"/>
      <c r="Z493" s="175"/>
    </row>
    <row r="494" spans="7:26"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206"/>
      <c r="U494" s="175"/>
      <c r="V494" s="175"/>
      <c r="W494" s="175"/>
      <c r="X494" s="175"/>
      <c r="Y494" s="175"/>
      <c r="Z494" s="175"/>
    </row>
    <row r="495" spans="7:26"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206"/>
      <c r="U495" s="175"/>
      <c r="V495" s="175"/>
      <c r="W495" s="175"/>
      <c r="X495" s="175"/>
      <c r="Y495" s="175"/>
      <c r="Z495" s="175"/>
    </row>
    <row r="496" spans="7:26"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206"/>
      <c r="U496" s="175"/>
      <c r="V496" s="175"/>
      <c r="W496" s="175"/>
      <c r="X496" s="175"/>
      <c r="Y496" s="175"/>
      <c r="Z496" s="175"/>
    </row>
    <row r="497" spans="7:26"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206"/>
      <c r="U497" s="175"/>
      <c r="V497" s="175"/>
      <c r="W497" s="175"/>
      <c r="X497" s="175"/>
      <c r="Y497" s="175"/>
      <c r="Z497" s="175"/>
    </row>
    <row r="498" spans="7:26"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206"/>
      <c r="U498" s="175"/>
      <c r="V498" s="175"/>
      <c r="W498" s="175"/>
      <c r="X498" s="175"/>
      <c r="Y498" s="175"/>
      <c r="Z498" s="175"/>
    </row>
    <row r="499" spans="7:26"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206"/>
      <c r="U499" s="175"/>
      <c r="V499" s="175"/>
      <c r="W499" s="175"/>
      <c r="X499" s="175"/>
      <c r="Y499" s="175"/>
      <c r="Z499" s="175"/>
    </row>
    <row r="500" spans="7:26"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206"/>
      <c r="U500" s="175"/>
      <c r="V500" s="175"/>
      <c r="W500" s="175"/>
      <c r="X500" s="175"/>
      <c r="Y500" s="175"/>
      <c r="Z500" s="175"/>
    </row>
    <row r="501" spans="7:26"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206"/>
      <c r="U501" s="175"/>
      <c r="V501" s="175"/>
      <c r="W501" s="175"/>
      <c r="X501" s="175"/>
      <c r="Y501" s="175"/>
      <c r="Z501" s="175"/>
    </row>
    <row r="502" spans="7:26"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206"/>
      <c r="U502" s="175"/>
      <c r="V502" s="175"/>
      <c r="W502" s="175"/>
      <c r="X502" s="175"/>
      <c r="Y502" s="175"/>
      <c r="Z502" s="175"/>
    </row>
    <row r="503" spans="7:26"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206"/>
      <c r="U503" s="175"/>
      <c r="V503" s="175"/>
      <c r="W503" s="175"/>
      <c r="X503" s="175"/>
      <c r="Y503" s="175"/>
      <c r="Z503" s="175"/>
    </row>
    <row r="504" spans="7:26"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206"/>
      <c r="U504" s="175"/>
      <c r="V504" s="175"/>
      <c r="W504" s="175"/>
      <c r="X504" s="175"/>
      <c r="Y504" s="175"/>
      <c r="Z504" s="175"/>
    </row>
    <row r="505" spans="7:26"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206"/>
      <c r="U505" s="175"/>
      <c r="V505" s="175"/>
      <c r="W505" s="175"/>
      <c r="X505" s="175"/>
      <c r="Y505" s="175"/>
      <c r="Z505" s="175"/>
    </row>
    <row r="506" spans="7:26"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206"/>
      <c r="U506" s="175"/>
      <c r="V506" s="175"/>
      <c r="W506" s="175"/>
      <c r="X506" s="175"/>
      <c r="Y506" s="175"/>
      <c r="Z506" s="175"/>
    </row>
    <row r="507" spans="7:26"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206"/>
      <c r="U507" s="175"/>
      <c r="V507" s="175"/>
      <c r="W507" s="175"/>
      <c r="X507" s="175"/>
      <c r="Y507" s="175"/>
      <c r="Z507" s="175"/>
    </row>
    <row r="508" spans="7:26"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206"/>
      <c r="U508" s="175"/>
      <c r="V508" s="175"/>
      <c r="W508" s="175"/>
      <c r="X508" s="175"/>
      <c r="Y508" s="175"/>
      <c r="Z508" s="175"/>
    </row>
    <row r="509" spans="7:26"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206"/>
      <c r="U509" s="175"/>
      <c r="V509" s="175"/>
      <c r="W509" s="175"/>
      <c r="X509" s="175"/>
      <c r="Y509" s="175"/>
      <c r="Z509" s="175"/>
    </row>
    <row r="510" spans="7:26"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206"/>
      <c r="U510" s="175"/>
      <c r="V510" s="175"/>
      <c r="W510" s="175"/>
      <c r="X510" s="175"/>
      <c r="Y510" s="175"/>
      <c r="Z510" s="175"/>
    </row>
    <row r="511" spans="7:26"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206"/>
      <c r="U511" s="175"/>
      <c r="V511" s="175"/>
      <c r="W511" s="175"/>
      <c r="X511" s="175"/>
      <c r="Y511" s="175"/>
      <c r="Z511" s="175"/>
    </row>
    <row r="512" spans="7:26"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206"/>
      <c r="U512" s="175"/>
      <c r="V512" s="175"/>
      <c r="W512" s="175"/>
      <c r="X512" s="175"/>
      <c r="Y512" s="175"/>
      <c r="Z512" s="175"/>
    </row>
    <row r="513" spans="7:26"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206"/>
      <c r="U513" s="175"/>
      <c r="V513" s="175"/>
      <c r="W513" s="175"/>
      <c r="X513" s="175"/>
      <c r="Y513" s="175"/>
      <c r="Z513" s="175"/>
    </row>
    <row r="514" spans="7:26"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206"/>
      <c r="U514" s="175"/>
      <c r="V514" s="175"/>
      <c r="W514" s="175"/>
      <c r="X514" s="175"/>
      <c r="Y514" s="175"/>
      <c r="Z514" s="175"/>
    </row>
    <row r="515" spans="7:26"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206"/>
      <c r="U515" s="175"/>
      <c r="V515" s="175"/>
      <c r="W515" s="175"/>
      <c r="X515" s="175"/>
      <c r="Y515" s="175"/>
      <c r="Z515" s="175"/>
    </row>
    <row r="516" spans="7:26"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206"/>
      <c r="U516" s="175"/>
      <c r="V516" s="175"/>
      <c r="W516" s="175"/>
      <c r="X516" s="175"/>
      <c r="Y516" s="175"/>
      <c r="Z516" s="175"/>
    </row>
    <row r="517" spans="7:26"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206"/>
      <c r="U517" s="175"/>
      <c r="V517" s="175"/>
      <c r="W517" s="175"/>
      <c r="X517" s="175"/>
      <c r="Y517" s="175"/>
      <c r="Z517" s="175"/>
    </row>
  </sheetData>
  <mergeCells count="2">
    <mergeCell ref="A1:F1"/>
    <mergeCell ref="C3:D3"/>
  </mergeCells>
  <pageMargins left="0.25" right="0.25" top="0.75" bottom="0.75" header="0.3" footer="0.3"/>
  <pageSetup scale="5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E5C1DC4B7502B40AE6FDB2C876A2E7D" ma:contentTypeVersion="28" ma:contentTypeDescription="" ma:contentTypeScope="" ma:versionID="f151087252ba2125439c3db6512471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2022-11-08T08:00:00+00:00</OpenedDate>
    <SignificantOrder xmlns="dc463f71-b30c-4ab2-9473-d307f9d35888">false</SignificantOrder>
    <Date1 xmlns="dc463f71-b30c-4ab2-9473-d307f9d35888">2022-12-05T08:00:00+00:00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220825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D8D24F-F4F9-4448-B394-8EF0169C6301}"/>
</file>

<file path=customXml/itemProps2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1ABF9F-EFF2-4E7C-B262-9C0C139FC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Tariff Changes</vt:lpstr>
      <vt:lpstr>Price Out Rates</vt:lpstr>
      <vt:lpstr>References</vt:lpstr>
      <vt:lpstr>Disposal Summary (with IC)</vt:lpstr>
      <vt:lpstr>'Disposal Summary (with IC)'!Print_Area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Robinson, Kristen</cp:lastModifiedBy>
  <cp:lastPrinted>2018-11-09T21:11:35Z</cp:lastPrinted>
  <dcterms:created xsi:type="dcterms:W3CDTF">2013-10-29T22:33:54Z</dcterms:created>
  <dcterms:modified xsi:type="dcterms:W3CDTF">2022-12-02T21:56:18Z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0x0101006E56B4D1795A2E4DB2F0B01679ED314A000E5C1DC4B7502B40AE6FDB2C876A2E7D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IsEFSEC">
    <vt:bool>false</vt:bool>
  </property>
  <property fmtid="{D5CDD505-2E9C-101B-9397-08002B2CF9AE}" pid="6" name="_docset_NoMedatataSyncRequired">
    <vt:lpwstr>False</vt:lpwstr>
  </property>
</Properties>
</file>